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2120" windowHeight="9120"/>
  </bookViews>
  <sheets>
    <sheet name="Приложение №3" sheetId="1" r:id="rId1"/>
  </sheets>
  <calcPr calcId="114210"/>
</workbook>
</file>

<file path=xl/calcChain.xml><?xml version="1.0" encoding="utf-8"?>
<calcChain xmlns="http://schemas.openxmlformats.org/spreadsheetml/2006/main">
  <c r="K308" i="1"/>
  <c r="M308"/>
  <c r="H308"/>
  <c r="O307"/>
  <c r="N307"/>
  <c r="L307"/>
  <c r="J307"/>
  <c r="I307"/>
  <c r="K307"/>
  <c r="M307"/>
  <c r="H307"/>
  <c r="O306"/>
  <c r="N306"/>
  <c r="L306"/>
  <c r="J306"/>
  <c r="I306"/>
  <c r="K306"/>
  <c r="M306"/>
  <c r="H306"/>
  <c r="M305"/>
  <c r="K305"/>
  <c r="O304"/>
  <c r="N304"/>
  <c r="L304"/>
  <c r="J304"/>
  <c r="I304"/>
  <c r="K304"/>
  <c r="H304"/>
  <c r="O303"/>
  <c r="N303"/>
  <c r="L303"/>
  <c r="J303"/>
  <c r="I303"/>
  <c r="H303"/>
  <c r="O302"/>
  <c r="N302"/>
  <c r="L302"/>
  <c r="J302"/>
  <c r="I302"/>
  <c r="K302"/>
  <c r="M302"/>
  <c r="H302"/>
  <c r="O301"/>
  <c r="N301"/>
  <c r="L301"/>
  <c r="J301"/>
  <c r="I301"/>
  <c r="K301"/>
  <c r="H301"/>
  <c r="H300"/>
  <c r="K300"/>
  <c r="O299"/>
  <c r="N299"/>
  <c r="L299"/>
  <c r="J299"/>
  <c r="I299"/>
  <c r="H299"/>
  <c r="O298"/>
  <c r="N298"/>
  <c r="L298"/>
  <c r="J298"/>
  <c r="I298"/>
  <c r="H298"/>
  <c r="O297"/>
  <c r="N297"/>
  <c r="L297"/>
  <c r="J297"/>
  <c r="I297"/>
  <c r="H297"/>
  <c r="O296"/>
  <c r="N296"/>
  <c r="L296"/>
  <c r="J296"/>
  <c r="I296"/>
  <c r="H296"/>
  <c r="O295"/>
  <c r="N295"/>
  <c r="L295"/>
  <c r="J295"/>
  <c r="I295"/>
  <c r="H295"/>
  <c r="K294"/>
  <c r="M294"/>
  <c r="H294"/>
  <c r="O293"/>
  <c r="N293"/>
  <c r="L293"/>
  <c r="J293"/>
  <c r="I293"/>
  <c r="K293"/>
  <c r="M293"/>
  <c r="H293"/>
  <c r="O292"/>
  <c r="N292"/>
  <c r="L292"/>
  <c r="J292"/>
  <c r="I292"/>
  <c r="K292"/>
  <c r="M292"/>
  <c r="H292"/>
  <c r="K291"/>
  <c r="K290"/>
  <c r="O289"/>
  <c r="N289"/>
  <c r="L289"/>
  <c r="J289"/>
  <c r="I289"/>
  <c r="H289"/>
  <c r="K289"/>
  <c r="K288"/>
  <c r="M287"/>
  <c r="K287"/>
  <c r="O286"/>
  <c r="N286"/>
  <c r="L286"/>
  <c r="J286"/>
  <c r="I286"/>
  <c r="K286"/>
  <c r="M286"/>
  <c r="H286"/>
  <c r="M285"/>
  <c r="K285"/>
  <c r="O284"/>
  <c r="N284"/>
  <c r="L284"/>
  <c r="J284"/>
  <c r="I284"/>
  <c r="K284"/>
  <c r="M284"/>
  <c r="H284"/>
  <c r="O283"/>
  <c r="N283"/>
  <c r="L283"/>
  <c r="J283"/>
  <c r="I283"/>
  <c r="K283"/>
  <c r="M283"/>
  <c r="H283"/>
  <c r="M282"/>
  <c r="K282"/>
  <c r="O281"/>
  <c r="N281"/>
  <c r="L281"/>
  <c r="J281"/>
  <c r="I281"/>
  <c r="K281"/>
  <c r="M281"/>
  <c r="H281"/>
  <c r="O280"/>
  <c r="N280"/>
  <c r="L280"/>
  <c r="J280"/>
  <c r="I280"/>
  <c r="K280"/>
  <c r="M280"/>
  <c r="H280"/>
  <c r="O279"/>
  <c r="N279"/>
  <c r="L279"/>
  <c r="J279"/>
  <c r="I279"/>
  <c r="K279"/>
  <c r="M279"/>
  <c r="H279"/>
  <c r="M278"/>
  <c r="K278"/>
  <c r="M277"/>
  <c r="K277"/>
  <c r="O276"/>
  <c r="N276"/>
  <c r="L276"/>
  <c r="J276"/>
  <c r="I276"/>
  <c r="K276"/>
  <c r="M276"/>
  <c r="H276"/>
  <c r="M275"/>
  <c r="K275"/>
  <c r="I274"/>
  <c r="H274"/>
  <c r="K274"/>
  <c r="M274"/>
  <c r="O273"/>
  <c r="N273"/>
  <c r="L273"/>
  <c r="J273"/>
  <c r="I273"/>
  <c r="K273"/>
  <c r="M273"/>
  <c r="H273"/>
  <c r="M272"/>
  <c r="K272"/>
  <c r="M271"/>
  <c r="K271"/>
  <c r="M270"/>
  <c r="K270"/>
  <c r="O269"/>
  <c r="N269"/>
  <c r="L269"/>
  <c r="J269"/>
  <c r="I269"/>
  <c r="K269"/>
  <c r="M269"/>
  <c r="H269"/>
  <c r="O268"/>
  <c r="N268"/>
  <c r="L268"/>
  <c r="J268"/>
  <c r="I268"/>
  <c r="K268"/>
  <c r="M268"/>
  <c r="H268"/>
  <c r="O267"/>
  <c r="N267"/>
  <c r="L267"/>
  <c r="J267"/>
  <c r="I267"/>
  <c r="K267"/>
  <c r="M267"/>
  <c r="H267"/>
  <c r="M266"/>
  <c r="K266"/>
  <c r="O265"/>
  <c r="N265"/>
  <c r="L265"/>
  <c r="J265"/>
  <c r="I265"/>
  <c r="K265"/>
  <c r="M265"/>
  <c r="H265"/>
  <c r="O264"/>
  <c r="N264"/>
  <c r="L264"/>
  <c r="J264"/>
  <c r="I264"/>
  <c r="K264"/>
  <c r="M264"/>
  <c r="H264"/>
  <c r="O263"/>
  <c r="N263"/>
  <c r="L263"/>
  <c r="J263"/>
  <c r="I263"/>
  <c r="H263"/>
  <c r="K263"/>
  <c r="M263"/>
  <c r="H262"/>
  <c r="K262"/>
  <c r="M262"/>
  <c r="K261"/>
  <c r="M261"/>
  <c r="K260"/>
  <c r="K259"/>
  <c r="M259"/>
  <c r="O258"/>
  <c r="N258"/>
  <c r="L258"/>
  <c r="M258"/>
  <c r="J258"/>
  <c r="I258"/>
  <c r="H258"/>
  <c r="K258"/>
  <c r="O257"/>
  <c r="N257"/>
  <c r="L257"/>
  <c r="M257"/>
  <c r="J257"/>
  <c r="I257"/>
  <c r="H257"/>
  <c r="K257"/>
  <c r="K256"/>
  <c r="M256"/>
  <c r="K255"/>
  <c r="M255"/>
  <c r="O254"/>
  <c r="N254"/>
  <c r="L254"/>
  <c r="M254"/>
  <c r="K254"/>
  <c r="J254"/>
  <c r="I254"/>
  <c r="H254"/>
  <c r="O253"/>
  <c r="N253"/>
  <c r="L253"/>
  <c r="J253"/>
  <c r="I253"/>
  <c r="H253"/>
  <c r="K253"/>
  <c r="O252"/>
  <c r="N252"/>
  <c r="L252"/>
  <c r="J252"/>
  <c r="I252"/>
  <c r="H252"/>
  <c r="K252"/>
  <c r="M252"/>
  <c r="O251"/>
  <c r="N251"/>
  <c r="L251"/>
  <c r="J251"/>
  <c r="I251"/>
  <c r="H251"/>
  <c r="K251"/>
  <c r="M251"/>
  <c r="M250"/>
  <c r="K250"/>
  <c r="H249"/>
  <c r="K249"/>
  <c r="M249"/>
  <c r="O248"/>
  <c r="N248"/>
  <c r="L248"/>
  <c r="M248"/>
  <c r="J248"/>
  <c r="I248"/>
  <c r="H248"/>
  <c r="K248"/>
  <c r="O247"/>
  <c r="N247"/>
  <c r="L247"/>
  <c r="M247"/>
  <c r="J247"/>
  <c r="I247"/>
  <c r="H247"/>
  <c r="K247"/>
  <c r="O246"/>
  <c r="N246"/>
  <c r="L246"/>
  <c r="M246"/>
  <c r="J246"/>
  <c r="I246"/>
  <c r="H246"/>
  <c r="K246"/>
  <c r="O245"/>
  <c r="N245"/>
  <c r="L245"/>
  <c r="M245"/>
  <c r="J245"/>
  <c r="I245"/>
  <c r="H245"/>
  <c r="K245"/>
  <c r="K244"/>
  <c r="M244"/>
  <c r="K243"/>
  <c r="M243"/>
  <c r="H243"/>
  <c r="O242"/>
  <c r="N242"/>
  <c r="L242"/>
  <c r="J242"/>
  <c r="I242"/>
  <c r="H242"/>
  <c r="K242"/>
  <c r="M242"/>
  <c r="O241"/>
  <c r="N241"/>
  <c r="L241"/>
  <c r="J241"/>
  <c r="I241"/>
  <c r="H241"/>
  <c r="K241"/>
  <c r="O240"/>
  <c r="N240"/>
  <c r="L240"/>
  <c r="J240"/>
  <c r="I240"/>
  <c r="K240"/>
  <c r="M240"/>
  <c r="H240"/>
  <c r="O239"/>
  <c r="N239"/>
  <c r="L239"/>
  <c r="J239"/>
  <c r="I239"/>
  <c r="H239"/>
  <c r="K239"/>
  <c r="M238"/>
  <c r="K238"/>
  <c r="O237"/>
  <c r="N237"/>
  <c r="L237"/>
  <c r="J237"/>
  <c r="I237"/>
  <c r="K237"/>
  <c r="M237"/>
  <c r="H237"/>
  <c r="M236"/>
  <c r="K236"/>
  <c r="H235"/>
  <c r="K235"/>
  <c r="M235"/>
  <c r="O234"/>
  <c r="N234"/>
  <c r="L234"/>
  <c r="M234"/>
  <c r="J234"/>
  <c r="I234"/>
  <c r="H234"/>
  <c r="K234"/>
  <c r="O233"/>
  <c r="N233"/>
  <c r="L233"/>
  <c r="M233"/>
  <c r="J233"/>
  <c r="I233"/>
  <c r="H233"/>
  <c r="K233"/>
  <c r="O232"/>
  <c r="N232"/>
  <c r="L232"/>
  <c r="M232"/>
  <c r="J232"/>
  <c r="I232"/>
  <c r="H232"/>
  <c r="K232"/>
  <c r="K231"/>
  <c r="M231"/>
  <c r="O230"/>
  <c r="N230"/>
  <c r="L230"/>
  <c r="J230"/>
  <c r="I230"/>
  <c r="H230"/>
  <c r="K230"/>
  <c r="H229"/>
  <c r="K229"/>
  <c r="M229"/>
  <c r="O228"/>
  <c r="N228"/>
  <c r="L228"/>
  <c r="M228"/>
  <c r="J228"/>
  <c r="I228"/>
  <c r="H228"/>
  <c r="K228"/>
  <c r="O227"/>
  <c r="N227"/>
  <c r="L227"/>
  <c r="M227"/>
  <c r="J227"/>
  <c r="I227"/>
  <c r="H227"/>
  <c r="K227"/>
  <c r="O226"/>
  <c r="N226"/>
  <c r="L226"/>
  <c r="M226"/>
  <c r="J226"/>
  <c r="I226"/>
  <c r="H226"/>
  <c r="K226"/>
  <c r="K225"/>
  <c r="M225"/>
  <c r="O224"/>
  <c r="N224"/>
  <c r="L224"/>
  <c r="M224"/>
  <c r="K224"/>
  <c r="J224"/>
  <c r="I224"/>
  <c r="H224"/>
  <c r="K223"/>
  <c r="M223"/>
  <c r="K222"/>
  <c r="M222"/>
  <c r="K221"/>
  <c r="M221"/>
  <c r="K220"/>
  <c r="M220"/>
  <c r="O219"/>
  <c r="N219"/>
  <c r="L219"/>
  <c r="J219"/>
  <c r="I219"/>
  <c r="H219"/>
  <c r="K218"/>
  <c r="M218"/>
  <c r="K217"/>
  <c r="M217"/>
  <c r="J216"/>
  <c r="H216"/>
  <c r="K216"/>
  <c r="O215"/>
  <c r="N215"/>
  <c r="L215"/>
  <c r="J215"/>
  <c r="I215"/>
  <c r="H215"/>
  <c r="O214"/>
  <c r="N214"/>
  <c r="L214"/>
  <c r="J214"/>
  <c r="I214"/>
  <c r="H214"/>
  <c r="O213"/>
  <c r="N213"/>
  <c r="L213"/>
  <c r="M213"/>
  <c r="J213"/>
  <c r="I213"/>
  <c r="H213"/>
  <c r="K213"/>
  <c r="O212"/>
  <c r="N212"/>
  <c r="L212"/>
  <c r="J212"/>
  <c r="I212"/>
  <c r="H212"/>
  <c r="O211"/>
  <c r="N211"/>
  <c r="L211"/>
  <c r="J211"/>
  <c r="I211"/>
  <c r="H211"/>
  <c r="O210"/>
  <c r="N210"/>
  <c r="L210"/>
  <c r="M210"/>
  <c r="J210"/>
  <c r="I210"/>
  <c r="H210"/>
  <c r="K210"/>
  <c r="K209"/>
  <c r="M209"/>
  <c r="O208"/>
  <c r="N208"/>
  <c r="L208"/>
  <c r="J208"/>
  <c r="I208"/>
  <c r="H208"/>
  <c r="K208"/>
  <c r="L207"/>
  <c r="H207"/>
  <c r="K207"/>
  <c r="O206"/>
  <c r="N206"/>
  <c r="L206"/>
  <c r="J206"/>
  <c r="I206"/>
  <c r="H206"/>
  <c r="K206"/>
  <c r="K205"/>
  <c r="M205"/>
  <c r="O204"/>
  <c r="N204"/>
  <c r="L204"/>
  <c r="M204"/>
  <c r="J204"/>
  <c r="I204"/>
  <c r="H204"/>
  <c r="K204"/>
  <c r="O203"/>
  <c r="N203"/>
  <c r="L203"/>
  <c r="M203"/>
  <c r="J203"/>
  <c r="I203"/>
  <c r="H203"/>
  <c r="K203"/>
  <c r="O202"/>
  <c r="N202"/>
  <c r="L202"/>
  <c r="M202"/>
  <c r="J202"/>
  <c r="I202"/>
  <c r="H202"/>
  <c r="K202"/>
  <c r="K201"/>
  <c r="M201"/>
  <c r="J201"/>
  <c r="M200"/>
  <c r="K200"/>
  <c r="M199"/>
  <c r="K199"/>
  <c r="M198"/>
  <c r="K198"/>
  <c r="M197"/>
  <c r="K197"/>
  <c r="M196"/>
  <c r="K196"/>
  <c r="M195"/>
  <c r="K195"/>
  <c r="O194"/>
  <c r="N194"/>
  <c r="L194"/>
  <c r="K194"/>
  <c r="M194"/>
  <c r="J194"/>
  <c r="I194"/>
  <c r="H194"/>
  <c r="M193"/>
  <c r="K193"/>
  <c r="M192"/>
  <c r="K192"/>
  <c r="O191"/>
  <c r="N191"/>
  <c r="L191"/>
  <c r="K191"/>
  <c r="M191"/>
  <c r="J191"/>
  <c r="I191"/>
  <c r="H191"/>
  <c r="O190"/>
  <c r="N190"/>
  <c r="L190"/>
  <c r="K190"/>
  <c r="M190"/>
  <c r="J190"/>
  <c r="I190"/>
  <c r="H190"/>
  <c r="M189"/>
  <c r="K189"/>
  <c r="L188"/>
  <c r="K188"/>
  <c r="M188"/>
  <c r="H188"/>
  <c r="O187"/>
  <c r="N187"/>
  <c r="L187"/>
  <c r="K187"/>
  <c r="M187"/>
  <c r="J187"/>
  <c r="I187"/>
  <c r="H187"/>
  <c r="O186"/>
  <c r="N186"/>
  <c r="L186"/>
  <c r="K186"/>
  <c r="M186"/>
  <c r="J186"/>
  <c r="I186"/>
  <c r="H186"/>
  <c r="O185"/>
  <c r="N185"/>
  <c r="L185"/>
  <c r="K185"/>
  <c r="M185"/>
  <c r="J185"/>
  <c r="I185"/>
  <c r="H185"/>
  <c r="M184"/>
  <c r="K184"/>
  <c r="M183"/>
  <c r="K183"/>
  <c r="L182"/>
  <c r="K182"/>
  <c r="M182"/>
  <c r="J182"/>
  <c r="L181"/>
  <c r="K181"/>
  <c r="M181"/>
  <c r="H181"/>
  <c r="O180"/>
  <c r="N180"/>
  <c r="L180"/>
  <c r="K180"/>
  <c r="M180"/>
  <c r="J180"/>
  <c r="I180"/>
  <c r="H180"/>
  <c r="O179"/>
  <c r="N179"/>
  <c r="L179"/>
  <c r="K179"/>
  <c r="M179"/>
  <c r="J179"/>
  <c r="I179"/>
  <c r="H179"/>
  <c r="M178"/>
  <c r="K178"/>
  <c r="L177"/>
  <c r="J177"/>
  <c r="H177"/>
  <c r="K177"/>
  <c r="M177"/>
  <c r="K176"/>
  <c r="M176"/>
  <c r="J176"/>
  <c r="O175"/>
  <c r="N175"/>
  <c r="L175"/>
  <c r="J175"/>
  <c r="I175"/>
  <c r="M174"/>
  <c r="K174"/>
  <c r="H173"/>
  <c r="K173"/>
  <c r="M173"/>
  <c r="K172"/>
  <c r="M172"/>
  <c r="O171"/>
  <c r="N171"/>
  <c r="N164"/>
  <c r="L171"/>
  <c r="J171"/>
  <c r="J164"/>
  <c r="J151"/>
  <c r="J150"/>
  <c r="I171"/>
  <c r="H171"/>
  <c r="K171"/>
  <c r="K170"/>
  <c r="M170"/>
  <c r="I170"/>
  <c r="I169"/>
  <c r="K169"/>
  <c r="M169"/>
  <c r="K168"/>
  <c r="M168"/>
  <c r="H168"/>
  <c r="H167"/>
  <c r="K167"/>
  <c r="M167"/>
  <c r="K166"/>
  <c r="M166"/>
  <c r="H166"/>
  <c r="O165"/>
  <c r="N165"/>
  <c r="L165"/>
  <c r="J165"/>
  <c r="I165"/>
  <c r="O164"/>
  <c r="I164"/>
  <c r="H163"/>
  <c r="K163"/>
  <c r="M163"/>
  <c r="K162"/>
  <c r="M162"/>
  <c r="O161"/>
  <c r="N161"/>
  <c r="N154"/>
  <c r="N151"/>
  <c r="N150"/>
  <c r="N136"/>
  <c r="L161"/>
  <c r="J161"/>
  <c r="I161"/>
  <c r="H161"/>
  <c r="K160"/>
  <c r="M160"/>
  <c r="K159"/>
  <c r="M159"/>
  <c r="I159"/>
  <c r="M158"/>
  <c r="K158"/>
  <c r="H157"/>
  <c r="K157"/>
  <c r="M157"/>
  <c r="K156"/>
  <c r="M156"/>
  <c r="H156"/>
  <c r="O155"/>
  <c r="N155"/>
  <c r="L155"/>
  <c r="J155"/>
  <c r="I155"/>
  <c r="O154"/>
  <c r="O151"/>
  <c r="O150"/>
  <c r="O136"/>
  <c r="L154"/>
  <c r="J154"/>
  <c r="I154"/>
  <c r="I151"/>
  <c r="I150"/>
  <c r="I136"/>
  <c r="H153"/>
  <c r="K153"/>
  <c r="M153"/>
  <c r="O152"/>
  <c r="N152"/>
  <c r="L152"/>
  <c r="M152"/>
  <c r="J152"/>
  <c r="I152"/>
  <c r="H152"/>
  <c r="K152"/>
  <c r="J149"/>
  <c r="H149"/>
  <c r="K149"/>
  <c r="M149"/>
  <c r="K148"/>
  <c r="M148"/>
  <c r="H148"/>
  <c r="M147"/>
  <c r="K147"/>
  <c r="J146"/>
  <c r="J144"/>
  <c r="J137"/>
  <c r="J136"/>
  <c r="H146"/>
  <c r="K146"/>
  <c r="M146"/>
  <c r="M145"/>
  <c r="K145"/>
  <c r="O144"/>
  <c r="N144"/>
  <c r="L144"/>
  <c r="I144"/>
  <c r="H144"/>
  <c r="M143"/>
  <c r="K143"/>
  <c r="O142"/>
  <c r="N142"/>
  <c r="L142"/>
  <c r="J142"/>
  <c r="I142"/>
  <c r="K142"/>
  <c r="M142"/>
  <c r="H142"/>
  <c r="M141"/>
  <c r="K141"/>
  <c r="L140"/>
  <c r="I140"/>
  <c r="H140"/>
  <c r="K140"/>
  <c r="M140"/>
  <c r="O139"/>
  <c r="N139"/>
  <c r="L139"/>
  <c r="M139"/>
  <c r="J139"/>
  <c r="I139"/>
  <c r="H139"/>
  <c r="K139"/>
  <c r="K138"/>
  <c r="O138"/>
  <c r="N138"/>
  <c r="L138"/>
  <c r="M138"/>
  <c r="J138"/>
  <c r="I138"/>
  <c r="H138"/>
  <c r="O137"/>
  <c r="N137"/>
  <c r="L137"/>
  <c r="I137"/>
  <c r="H137"/>
  <c r="K135"/>
  <c r="M135"/>
  <c r="H135"/>
  <c r="O134"/>
  <c r="N134"/>
  <c r="L134"/>
  <c r="J134"/>
  <c r="I134"/>
  <c r="K134"/>
  <c r="M134"/>
  <c r="H134"/>
  <c r="O133"/>
  <c r="N133"/>
  <c r="L133"/>
  <c r="J133"/>
  <c r="I133"/>
  <c r="K133"/>
  <c r="M133"/>
  <c r="H133"/>
  <c r="O132"/>
  <c r="N132"/>
  <c r="L132"/>
  <c r="J132"/>
  <c r="I132"/>
  <c r="K132"/>
  <c r="M132"/>
  <c r="H132"/>
  <c r="M131"/>
  <c r="K131"/>
  <c r="M130"/>
  <c r="K130"/>
  <c r="H129"/>
  <c r="K129"/>
  <c r="M129"/>
  <c r="K128"/>
  <c r="M128"/>
  <c r="H128"/>
  <c r="O127"/>
  <c r="N127"/>
  <c r="L127"/>
  <c r="J127"/>
  <c r="I127"/>
  <c r="O126"/>
  <c r="N126"/>
  <c r="L126"/>
  <c r="J126"/>
  <c r="I126"/>
  <c r="K125"/>
  <c r="O124"/>
  <c r="N124"/>
  <c r="N123"/>
  <c r="N122"/>
  <c r="N121"/>
  <c r="L124"/>
  <c r="J124"/>
  <c r="I124"/>
  <c r="K124"/>
  <c r="H124"/>
  <c r="O123"/>
  <c r="O122"/>
  <c r="O121"/>
  <c r="L123"/>
  <c r="J123"/>
  <c r="H123"/>
  <c r="L122"/>
  <c r="J122"/>
  <c r="L121"/>
  <c r="J121"/>
  <c r="K120"/>
  <c r="M120"/>
  <c r="K119"/>
  <c r="M119"/>
  <c r="K118"/>
  <c r="M118"/>
  <c r="O117"/>
  <c r="N117"/>
  <c r="L117"/>
  <c r="J117"/>
  <c r="I117"/>
  <c r="H117"/>
  <c r="K117"/>
  <c r="K116"/>
  <c r="M116"/>
  <c r="O115"/>
  <c r="N115"/>
  <c r="L115"/>
  <c r="M115"/>
  <c r="J115"/>
  <c r="I115"/>
  <c r="H115"/>
  <c r="K115"/>
  <c r="K114"/>
  <c r="M114"/>
  <c r="O113"/>
  <c r="N113"/>
  <c r="L113"/>
  <c r="J113"/>
  <c r="I113"/>
  <c r="H113"/>
  <c r="K113"/>
  <c r="O112"/>
  <c r="N112"/>
  <c r="L112"/>
  <c r="J112"/>
  <c r="I112"/>
  <c r="H112"/>
  <c r="K112"/>
  <c r="O111"/>
  <c r="N111"/>
  <c r="N107"/>
  <c r="L111"/>
  <c r="J111"/>
  <c r="J107"/>
  <c r="I111"/>
  <c r="H111"/>
  <c r="K111"/>
  <c r="K110"/>
  <c r="O109"/>
  <c r="O108"/>
  <c r="O107"/>
  <c r="N109"/>
  <c r="L109"/>
  <c r="L108"/>
  <c r="J109"/>
  <c r="J108"/>
  <c r="I109"/>
  <c r="H109"/>
  <c r="K109"/>
  <c r="N108"/>
  <c r="I108"/>
  <c r="I107"/>
  <c r="M106"/>
  <c r="K106"/>
  <c r="O105"/>
  <c r="N105"/>
  <c r="L105"/>
  <c r="J105"/>
  <c r="I105"/>
  <c r="K105"/>
  <c r="M105"/>
  <c r="H105"/>
  <c r="M104"/>
  <c r="K104"/>
  <c r="O103"/>
  <c r="N103"/>
  <c r="L103"/>
  <c r="J103"/>
  <c r="I103"/>
  <c r="K103"/>
  <c r="M103"/>
  <c r="H103"/>
  <c r="O102"/>
  <c r="N102"/>
  <c r="L102"/>
  <c r="J102"/>
  <c r="I102"/>
  <c r="K102"/>
  <c r="M102"/>
  <c r="H102"/>
  <c r="M101"/>
  <c r="K101"/>
  <c r="O100"/>
  <c r="N100"/>
  <c r="L100"/>
  <c r="J100"/>
  <c r="I100"/>
  <c r="K100"/>
  <c r="M100"/>
  <c r="H100"/>
  <c r="O99"/>
  <c r="N99"/>
  <c r="L99"/>
  <c r="J99"/>
  <c r="I99"/>
  <c r="K99"/>
  <c r="M99"/>
  <c r="H99"/>
  <c r="O98"/>
  <c r="N98"/>
  <c r="L98"/>
  <c r="J98"/>
  <c r="I98"/>
  <c r="K98"/>
  <c r="M98"/>
  <c r="H98"/>
  <c r="O97"/>
  <c r="N97"/>
  <c r="L97"/>
  <c r="J97"/>
  <c r="I97"/>
  <c r="K97"/>
  <c r="M97"/>
  <c r="H97"/>
  <c r="K96"/>
  <c r="O95"/>
  <c r="N95"/>
  <c r="N94"/>
  <c r="L95"/>
  <c r="J95"/>
  <c r="I95"/>
  <c r="I94"/>
  <c r="H95"/>
  <c r="O94"/>
  <c r="O93"/>
  <c r="O92"/>
  <c r="L94"/>
  <c r="L93"/>
  <c r="J94"/>
  <c r="J93"/>
  <c r="J92"/>
  <c r="H94"/>
  <c r="N93"/>
  <c r="N92"/>
  <c r="I93"/>
  <c r="I92"/>
  <c r="L92"/>
  <c r="K91"/>
  <c r="J90"/>
  <c r="J89"/>
  <c r="J84"/>
  <c r="J59"/>
  <c r="H90"/>
  <c r="K90"/>
  <c r="O89"/>
  <c r="N89"/>
  <c r="L89"/>
  <c r="I89"/>
  <c r="H89"/>
  <c r="K88"/>
  <c r="J87"/>
  <c r="H87"/>
  <c r="K87"/>
  <c r="M87"/>
  <c r="O86"/>
  <c r="N86"/>
  <c r="L86"/>
  <c r="M86"/>
  <c r="J86"/>
  <c r="I86"/>
  <c r="H86"/>
  <c r="K86"/>
  <c r="O85"/>
  <c r="N85"/>
  <c r="L85"/>
  <c r="M85"/>
  <c r="J85"/>
  <c r="I85"/>
  <c r="H85"/>
  <c r="K85"/>
  <c r="O84"/>
  <c r="N84"/>
  <c r="L84"/>
  <c r="I84"/>
  <c r="H84"/>
  <c r="K83"/>
  <c r="M83"/>
  <c r="K82"/>
  <c r="M82"/>
  <c r="H82"/>
  <c r="O81"/>
  <c r="N81"/>
  <c r="L81"/>
  <c r="J81"/>
  <c r="I81"/>
  <c r="K81"/>
  <c r="M81"/>
  <c r="H81"/>
  <c r="M80"/>
  <c r="K80"/>
  <c r="H79"/>
  <c r="K79"/>
  <c r="O78"/>
  <c r="N78"/>
  <c r="L78"/>
  <c r="J78"/>
  <c r="I78"/>
  <c r="H78"/>
  <c r="K77"/>
  <c r="M77"/>
  <c r="H77"/>
  <c r="O76"/>
  <c r="N76"/>
  <c r="L76"/>
  <c r="K76"/>
  <c r="M76"/>
  <c r="J76"/>
  <c r="I76"/>
  <c r="H76"/>
  <c r="O75"/>
  <c r="N75"/>
  <c r="L75"/>
  <c r="J75"/>
  <c r="I75"/>
  <c r="H75"/>
  <c r="M74"/>
  <c r="K74"/>
  <c r="M73"/>
  <c r="K73"/>
  <c r="M72"/>
  <c r="K72"/>
  <c r="M71"/>
  <c r="K71"/>
  <c r="H70"/>
  <c r="K70"/>
  <c r="M70"/>
  <c r="K69"/>
  <c r="K68"/>
  <c r="K67"/>
  <c r="M67"/>
  <c r="J67"/>
  <c r="O66"/>
  <c r="N66"/>
  <c r="L66"/>
  <c r="J66"/>
  <c r="I66"/>
  <c r="K66"/>
  <c r="H66"/>
  <c r="O65"/>
  <c r="N65"/>
  <c r="L65"/>
  <c r="J65"/>
  <c r="I65"/>
  <c r="H65"/>
  <c r="M64"/>
  <c r="K64"/>
  <c r="O63"/>
  <c r="N63"/>
  <c r="L63"/>
  <c r="J63"/>
  <c r="I63"/>
  <c r="K63"/>
  <c r="M63"/>
  <c r="H63"/>
  <c r="O62"/>
  <c r="N62"/>
  <c r="L62"/>
  <c r="J62"/>
  <c r="I62"/>
  <c r="K62"/>
  <c r="H62"/>
  <c r="M61"/>
  <c r="K61"/>
  <c r="M60"/>
  <c r="K60"/>
  <c r="O59"/>
  <c r="N59"/>
  <c r="L59"/>
  <c r="I59"/>
  <c r="H59"/>
  <c r="K58"/>
  <c r="J58"/>
  <c r="O57"/>
  <c r="O56"/>
  <c r="O55"/>
  <c r="N57"/>
  <c r="L57"/>
  <c r="L56"/>
  <c r="L55"/>
  <c r="J57"/>
  <c r="J56"/>
  <c r="J55"/>
  <c r="I57"/>
  <c r="H57"/>
  <c r="K57"/>
  <c r="N56"/>
  <c r="N55"/>
  <c r="I56"/>
  <c r="I55"/>
  <c r="K54"/>
  <c r="M54"/>
  <c r="O53"/>
  <c r="N53"/>
  <c r="L53"/>
  <c r="J53"/>
  <c r="I53"/>
  <c r="H53"/>
  <c r="K53"/>
  <c r="O52"/>
  <c r="N52"/>
  <c r="L52"/>
  <c r="J52"/>
  <c r="I52"/>
  <c r="H52"/>
  <c r="K52"/>
  <c r="O51"/>
  <c r="N51"/>
  <c r="L51"/>
  <c r="J51"/>
  <c r="I51"/>
  <c r="H51"/>
  <c r="K51"/>
  <c r="K50"/>
  <c r="O49"/>
  <c r="O48"/>
  <c r="O47"/>
  <c r="N49"/>
  <c r="L49"/>
  <c r="L48"/>
  <c r="L47"/>
  <c r="J49"/>
  <c r="J48"/>
  <c r="J47"/>
  <c r="I49"/>
  <c r="H49"/>
  <c r="K49"/>
  <c r="N48"/>
  <c r="N47"/>
  <c r="I48"/>
  <c r="I47"/>
  <c r="K46"/>
  <c r="M46"/>
  <c r="O45"/>
  <c r="N45"/>
  <c r="L45"/>
  <c r="J45"/>
  <c r="I45"/>
  <c r="H45"/>
  <c r="K44"/>
  <c r="M44"/>
  <c r="O43"/>
  <c r="N43"/>
  <c r="L43"/>
  <c r="M43"/>
  <c r="J43"/>
  <c r="I43"/>
  <c r="H43"/>
  <c r="K43"/>
  <c r="K42"/>
  <c r="M42"/>
  <c r="J42"/>
  <c r="L41"/>
  <c r="K41"/>
  <c r="M41"/>
  <c r="K40"/>
  <c r="M40"/>
  <c r="K39"/>
  <c r="M39"/>
  <c r="K38"/>
  <c r="M38"/>
  <c r="J37"/>
  <c r="H37"/>
  <c r="K37"/>
  <c r="M37"/>
  <c r="O36"/>
  <c r="N36"/>
  <c r="L36"/>
  <c r="J36"/>
  <c r="I36"/>
  <c r="H36"/>
  <c r="K36"/>
  <c r="O35"/>
  <c r="N35"/>
  <c r="L35"/>
  <c r="J35"/>
  <c r="I35"/>
  <c r="H35"/>
  <c r="K35"/>
  <c r="O34"/>
  <c r="N34"/>
  <c r="L34"/>
  <c r="J34"/>
  <c r="I34"/>
  <c r="H34"/>
  <c r="K34"/>
  <c r="O33"/>
  <c r="N33"/>
  <c r="L33"/>
  <c r="J33"/>
  <c r="I33"/>
  <c r="H33"/>
  <c r="K32"/>
  <c r="M32"/>
  <c r="H32"/>
  <c r="O31"/>
  <c r="N31"/>
  <c r="L31"/>
  <c r="J31"/>
  <c r="I31"/>
  <c r="K31"/>
  <c r="M31"/>
  <c r="H31"/>
  <c r="O30"/>
  <c r="N30"/>
  <c r="L30"/>
  <c r="J30"/>
  <c r="I30"/>
  <c r="K30"/>
  <c r="M30"/>
  <c r="H30"/>
  <c r="O29"/>
  <c r="N29"/>
  <c r="L29"/>
  <c r="J29"/>
  <c r="I29"/>
  <c r="K29"/>
  <c r="M29"/>
  <c r="H29"/>
  <c r="J26"/>
  <c r="J25"/>
  <c r="J24"/>
  <c r="J23"/>
  <c r="J22"/>
  <c r="J21"/>
  <c r="H26"/>
  <c r="K26"/>
  <c r="M26"/>
  <c r="O25"/>
  <c r="N25"/>
  <c r="L25"/>
  <c r="I25"/>
  <c r="K25"/>
  <c r="M25"/>
  <c r="H25"/>
  <c r="O24"/>
  <c r="N24"/>
  <c r="L24"/>
  <c r="I24"/>
  <c r="K24"/>
  <c r="M24"/>
  <c r="H24"/>
  <c r="O23"/>
  <c r="N23"/>
  <c r="L23"/>
  <c r="I23"/>
  <c r="K23"/>
  <c r="M23"/>
  <c r="H23"/>
  <c r="O22"/>
  <c r="N22"/>
  <c r="L22"/>
  <c r="I22"/>
  <c r="K22"/>
  <c r="M22"/>
  <c r="H22"/>
  <c r="O21"/>
  <c r="N21"/>
  <c r="L21"/>
  <c r="I21"/>
  <c r="K21"/>
  <c r="M21"/>
  <c r="H21"/>
  <c r="M20"/>
  <c r="K20"/>
  <c r="O19"/>
  <c r="N19"/>
  <c r="L19"/>
  <c r="K19"/>
  <c r="M19"/>
  <c r="J19"/>
  <c r="I19"/>
  <c r="H19"/>
  <c r="K18"/>
  <c r="J17"/>
  <c r="H17"/>
  <c r="K17"/>
  <c r="M17"/>
  <c r="O16"/>
  <c r="N16"/>
  <c r="L16"/>
  <c r="M16"/>
  <c r="J16"/>
  <c r="I16"/>
  <c r="H16"/>
  <c r="K16"/>
  <c r="O15"/>
  <c r="N15"/>
  <c r="L15"/>
  <c r="M15"/>
  <c r="J15"/>
  <c r="I15"/>
  <c r="H15"/>
  <c r="K15"/>
  <c r="O14"/>
  <c r="N14"/>
  <c r="L14"/>
  <c r="M14"/>
  <c r="J14"/>
  <c r="I14"/>
  <c r="H14"/>
  <c r="K14"/>
  <c r="K13"/>
  <c r="O13"/>
  <c r="N13"/>
  <c r="L13"/>
  <c r="M13"/>
  <c r="J13"/>
  <c r="I13"/>
  <c r="H13"/>
  <c r="O12"/>
  <c r="N12"/>
  <c r="L12"/>
  <c r="J12"/>
  <c r="I12"/>
  <c r="H12"/>
  <c r="N28"/>
  <c r="N27"/>
  <c r="L28"/>
  <c r="O28"/>
  <c r="O27"/>
  <c r="K78"/>
  <c r="M79"/>
  <c r="K75"/>
  <c r="M75"/>
  <c r="M34"/>
  <c r="M35"/>
  <c r="M36"/>
  <c r="M51"/>
  <c r="M52"/>
  <c r="M53"/>
  <c r="I28"/>
  <c r="J28"/>
  <c r="J27"/>
  <c r="J309"/>
  <c r="M62"/>
  <c r="M66"/>
  <c r="K65"/>
  <c r="M65"/>
  <c r="M78"/>
  <c r="M90"/>
  <c r="K89"/>
  <c r="M89"/>
  <c r="N309"/>
  <c r="K95"/>
  <c r="K144"/>
  <c r="M144"/>
  <c r="M171"/>
  <c r="M206"/>
  <c r="M207"/>
  <c r="M208"/>
  <c r="M216"/>
  <c r="K215"/>
  <c r="K12"/>
  <c r="O309"/>
  <c r="K45"/>
  <c r="K33"/>
  <c r="M33"/>
  <c r="H48"/>
  <c r="H56"/>
  <c r="K94"/>
  <c r="H93"/>
  <c r="M111"/>
  <c r="M112"/>
  <c r="M113"/>
  <c r="M117"/>
  <c r="K123"/>
  <c r="M215"/>
  <c r="L107"/>
  <c r="H108"/>
  <c r="K108"/>
  <c r="K107"/>
  <c r="I123"/>
  <c r="I122"/>
  <c r="I121"/>
  <c r="H127"/>
  <c r="H155"/>
  <c r="K161"/>
  <c r="M161"/>
  <c r="L164"/>
  <c r="H165"/>
  <c r="H175"/>
  <c r="K175"/>
  <c r="M175"/>
  <c r="K219"/>
  <c r="M219"/>
  <c r="M230"/>
  <c r="M239"/>
  <c r="M241"/>
  <c r="M253"/>
  <c r="K299"/>
  <c r="M300"/>
  <c r="M301"/>
  <c r="M304"/>
  <c r="K303"/>
  <c r="M303"/>
  <c r="K298"/>
  <c r="M298"/>
  <c r="K297"/>
  <c r="K165"/>
  <c r="M165"/>
  <c r="H164"/>
  <c r="K164"/>
  <c r="K127"/>
  <c r="M127"/>
  <c r="H126"/>
  <c r="H107"/>
  <c r="K48"/>
  <c r="H47"/>
  <c r="K47"/>
  <c r="K214"/>
  <c r="M214"/>
  <c r="K212"/>
  <c r="K84"/>
  <c r="M84"/>
  <c r="M299"/>
  <c r="M164"/>
  <c r="L151"/>
  <c r="K155"/>
  <c r="M155"/>
  <c r="H154"/>
  <c r="M107"/>
  <c r="K93"/>
  <c r="H92"/>
  <c r="K92"/>
  <c r="K56"/>
  <c r="H55"/>
  <c r="M12"/>
  <c r="K137"/>
  <c r="M137"/>
  <c r="I27"/>
  <c r="I309"/>
  <c r="M45"/>
  <c r="K55"/>
  <c r="H28"/>
  <c r="K59"/>
  <c r="M59"/>
  <c r="K211"/>
  <c r="M211"/>
  <c r="M212"/>
  <c r="K126"/>
  <c r="M126"/>
  <c r="H122"/>
  <c r="K296"/>
  <c r="M297"/>
  <c r="K154"/>
  <c r="M154"/>
  <c r="H151"/>
  <c r="L150"/>
  <c r="L136"/>
  <c r="M296"/>
  <c r="K295"/>
  <c r="M295"/>
  <c r="K28"/>
  <c r="H150"/>
  <c r="K151"/>
  <c r="M151"/>
  <c r="H121"/>
  <c r="K121"/>
  <c r="M121"/>
  <c r="K122"/>
  <c r="M122"/>
  <c r="M28"/>
  <c r="H136"/>
  <c r="K136"/>
  <c r="K27"/>
  <c r="K309"/>
  <c r="K150"/>
  <c r="M150"/>
  <c r="H27"/>
  <c r="H309"/>
  <c r="L27"/>
  <c r="M27"/>
  <c r="L309"/>
  <c r="M309"/>
  <c r="M136"/>
</calcChain>
</file>

<file path=xl/sharedStrings.xml><?xml version="1.0" encoding="utf-8"?>
<sst xmlns="http://schemas.openxmlformats.org/spreadsheetml/2006/main" count="1369" uniqueCount="343">
  <si>
    <t>Распределение средств бюджета  Алексеевского муниципального района по главным распорядителем средств бюджета района за  2013 год</t>
  </si>
  <si>
    <t>(тыс. рублей)</t>
  </si>
  <si>
    <t>Ведомственный код</t>
  </si>
  <si>
    <t>Дополнительный код</t>
  </si>
  <si>
    <t>Раздел</t>
  </si>
  <si>
    <t>Подраздел</t>
  </si>
  <si>
    <t>Целевая статья расходов</t>
  </si>
  <si>
    <t>Вид расходов</t>
  </si>
  <si>
    <t>изменения</t>
  </si>
  <si>
    <t xml:space="preserve">Кассовый план </t>
  </si>
  <si>
    <t>Исполнено за   2013 год</t>
  </si>
  <si>
    <t>% исполнения</t>
  </si>
  <si>
    <t>2013 год</t>
  </si>
  <si>
    <t>обл</t>
  </si>
  <si>
    <t>соб</t>
  </si>
  <si>
    <t>Наименование</t>
  </si>
  <si>
    <t>Алексеевская районная Дума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</si>
  <si>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</si>
  <si>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</si>
  <si>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</si>
  <si>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</si>
  <si>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</si>
  <si>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</si>
  <si>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</si>
  <si>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</si>
  <si>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</si>
  <si>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Выполнение функций  органами самоуправления</t>
  </si>
  <si>
    <t>Уплата налога на имущество  организаций и земельного налога органами государственной власти и казенными учреждениями</t>
  </si>
  <si>
    <t>945</t>
  </si>
  <si>
    <t>0029502</t>
  </si>
  <si>
    <t>500</t>
  </si>
  <si>
    <t>Другие общегосударственные вопросы</t>
  </si>
  <si>
    <t>13</t>
  </si>
  <si>
    <t>Поощрение победителей конкурса на лучшую организацию работы в представительных органах местного самоуправления</t>
  </si>
  <si>
    <t>5210112</t>
  </si>
  <si>
    <t>Ревизионная комиссия Алексеевского муниципального района</t>
  </si>
  <si>
    <t>931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</si>
  <si>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</si>
  <si>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</si>
  <si>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Администрация Алексеевского муниципального района</t>
  </si>
  <si>
    <t>Общегосударственные  расходы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</si>
  <si>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</si>
  <si>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</si>
  <si>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</si>
  <si>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</si>
  <si>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</si>
  <si>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</si>
  <si>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</si>
  <si>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</si>
  <si>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 счет субвенции на деятельность комиссии по делам несовершеннолетних</t>
  </si>
  <si>
    <t>За счет субвенции на административную комиссию</t>
  </si>
  <si>
    <t>За счет субвенции на деятельность органов опеки</t>
  </si>
  <si>
    <t>За счет субвенции на архив</t>
  </si>
  <si>
    <t>На содержание финансового органа</t>
  </si>
  <si>
    <t>944</t>
  </si>
  <si>
    <t>Глава местной администрации(исполнительно-распорядительного органа муниципального образования)</t>
  </si>
  <si>
    <t>0020800</t>
  </si>
  <si>
    <t>Целевые программы муниципальных образований</t>
  </si>
  <si>
    <t>902</t>
  </si>
  <si>
    <t>7950000</t>
  </si>
  <si>
    <t>"Развитие муниципальной службы в администрации Алексеевского муниципального района Волгоградской области " на 2013-2015 годы</t>
  </si>
  <si>
    <t>Судебная система</t>
  </si>
  <si>
    <t>05</t>
  </si>
  <si>
    <t>Руководство и управление в сфере установленных функций</t>
  </si>
  <si>
    <t>0010000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</si>
  <si>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</si>
  <si>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</si>
  <si>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Прочие расходы</t>
  </si>
  <si>
    <t>370</t>
  </si>
  <si>
    <t>013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</si>
  <si>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</si>
  <si>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</si>
  <si>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</si>
  <si>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</si>
  <si>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 муниципального образования</t>
  </si>
  <si>
    <t>0200003</t>
  </si>
  <si>
    <t>Выполнение  функций органов местного самоуправления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</si>
  <si>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</si>
  <si>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</si>
  <si>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</si>
  <si>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</si>
  <si>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</si>
  <si>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Администрации Волгоградской области</t>
  </si>
  <si>
    <t>0700400</t>
  </si>
  <si>
    <t>Погашение кредиторской задолженности  на 01.01.2013 г. по объектам капитального строительства, финансирование которых осуществлялось за счет средств областного бюджета в 2012 году</t>
  </si>
  <si>
    <t>1020102</t>
  </si>
  <si>
    <t>020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</si>
  <si>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</si>
  <si>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</si>
  <si>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 по муниципальной собственности</t>
  </si>
  <si>
    <t>0900200</t>
  </si>
  <si>
    <t>Реализация 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</si>
  <si>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</si>
  <si>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</si>
  <si>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</si>
  <si>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 наказах и обращениях избирателей к депутатам Алексеевской районной  Думы (иные межбюджетные трансферты)</t>
  </si>
  <si>
    <t>017</t>
  </si>
  <si>
    <t>Реализация Закона Волгоградской области от 10 января 2002 г. №  661-ОД "О наказах и обращениях избирателей к депутатам Волгоградской областной Думы и Губернатору Волгоградской области"</t>
  </si>
  <si>
    <t>0929600</t>
  </si>
  <si>
    <t>Субсидии бюджетным учреждениям на иные цели(Реализация Закона Волгоградской области от 10 января 2002 г. №  661-ОД "О наказах и обращениях избирателей к депутатам Волгоградской областной Думы и Губернатору Волгоградской области")</t>
  </si>
  <si>
    <t>983913</t>
  </si>
  <si>
    <t>612</t>
  </si>
  <si>
    <t>983914</t>
  </si>
  <si>
    <t>983915</t>
  </si>
  <si>
    <t>915</t>
  </si>
  <si>
    <t>001</t>
  </si>
  <si>
    <t>0929502</t>
  </si>
  <si>
    <t>Ведомственная целевая программа "Повышение качества предоставления государственных и муниципальных услуг путем создания многофункционального центра  предоставления государственных и муниципальных услуг на территории  Алексеевского муниципального района  Волгоградской области на 2013-2015 годы""</t>
  </si>
  <si>
    <t>Обеспечение деятельности автономных учреждений</t>
  </si>
  <si>
    <t>0928800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</si>
  <si>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</si>
  <si>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</si>
  <si>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 учреждениям на иные цели ("Инвестиционная программа по жилищно-коммунальному хозяйству Алексеевского муниципального района на 2013-2015 годы")</t>
  </si>
  <si>
    <t>983907</t>
  </si>
  <si>
    <t>622</t>
  </si>
  <si>
    <t>«Развитие территориального общественного самоуправления Алексеевского муниципального района на 2013-2015 годы"</t>
  </si>
  <si>
    <t>916</t>
  </si>
  <si>
    <t>Государственная  регистрация актов гражданского состояния</t>
  </si>
  <si>
    <t>0013800</t>
  </si>
  <si>
    <t>360</t>
  </si>
  <si>
    <t>Долгосрочная областная целевая программа "Развитие территориального общественного самоуправления Волгоградской области" на 2011 - 2015 годы</t>
  </si>
  <si>
    <t>5222600</t>
  </si>
  <si>
    <t>Учреждения по обеспечению хозяйственного обслуживания</t>
  </si>
  <si>
    <t>Обеспечение деятельности бюджетных учреждений</t>
  </si>
  <si>
    <t>0937700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</si>
  <si>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2013-2015 годы"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</si>
  <si>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</si>
  <si>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</si>
  <si>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</si>
  <si>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"Инвестиционная программа по жилищно-коммунальному хозяйству Алексеевского муниципального района на 2013-2015 годы"</t>
  </si>
  <si>
    <t>Условно утвержденные расходы</t>
  </si>
  <si>
    <t>9990000</t>
  </si>
  <si>
    <t>999</t>
  </si>
  <si>
    <t xml:space="preserve">Национальная оборона </t>
  </si>
  <si>
    <t>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</si>
  <si>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</si>
  <si>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</si>
  <si>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</si>
  <si>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</si>
  <si>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</si>
  <si>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</si>
  <si>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</si>
  <si>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</si>
  <si>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</si>
  <si>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Подготовка населения и организаций к действиям в чрезвычайных ситуациях в мирное и военное время</t>
  </si>
  <si>
    <t>Выполнение функций органами  местного самоуправления</t>
  </si>
  <si>
    <t>"Создание общественных постов в местах массового отдыха и обучение населения, в том числе детей, плаванию и приемам спасения на воде  Алексеевского муниципального района на  2013-2015 годы"</t>
  </si>
  <si>
    <t>Национальная экономика</t>
  </si>
  <si>
    <t>Дорожное хозяйство (дорожные фонды)</t>
  </si>
  <si>
    <t>Поддержка дорожного хозяйства в муниципальных образованиях</t>
  </si>
  <si>
    <t>5210103</t>
  </si>
  <si>
    <t>Фонд софинансирования</t>
  </si>
  <si>
    <t>010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</si>
  <si>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</si>
  <si>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</si>
  <si>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</si>
  <si>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Мероприятия в области строительства, архитектуры и градостроения</t>
  </si>
  <si>
    <t>Отдельные мероприятия в области строительства, архитектуры и градостроительства</t>
  </si>
  <si>
    <t>3380100</t>
  </si>
  <si>
    <t>12</t>
  </si>
  <si>
    <t>"Развитие и поддержка малого предпринимательства Алексеевского муниципального района на 2013-2015 годы "</t>
  </si>
  <si>
    <t>006</t>
  </si>
  <si>
    <t>"Развитие и поддержка малого предпринимательства Алексеевского муниципального района на 2013-2015 годы"</t>
  </si>
  <si>
    <t>Долгосрочная областная целевая программа "Развитие и поддержка малого и среднего предпринимательства в Волгоградской области" на 2013-2017 годы</t>
  </si>
  <si>
    <t>5220100</t>
  </si>
  <si>
    <t>ЖКХ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</si>
  <si>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</si>
  <si>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</si>
  <si>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</si>
  <si>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Инвестиционная программа по жилищно-коммунальному хозяйству Алексеевского муниципального района на 2013-2015 годы</t>
  </si>
  <si>
    <t xml:space="preserve">Бюджетные инвестиции в объекты капитального строительства </t>
  </si>
  <si>
    <t>Бюджетные инвестиции в объекты кап.строительства собств.мун.образований</t>
  </si>
  <si>
    <t>Бюджетные инвестиции("Инвестиционная программа по жилищно-коммунальному хозяйству Алексеевского муниципального района на 2013-2015 годы")</t>
  </si>
  <si>
    <t>003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</si>
  <si>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</si>
  <si>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5224700</t>
  </si>
  <si>
    <t>Мероприятия по развитию газификации в сельской местности</t>
  </si>
  <si>
    <t>5220903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</si>
  <si>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</si>
  <si>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5210214</t>
  </si>
  <si>
    <t>Охрана окружающей среды</t>
  </si>
  <si>
    <t>Другие вопросы в области окружающей среды</t>
  </si>
  <si>
    <t>«Охрана окружающей среды Алексеевского муниципального района на 2013-2015 годы»</t>
  </si>
  <si>
    <t>Образование</t>
  </si>
  <si>
    <t>Дошкольное образование</t>
  </si>
  <si>
    <t>4200000</t>
  </si>
  <si>
    <t>Ведомственная целевая программа "Развитие дошкольного образования детей на  территории  Алексеевского муниципального района на 2013-2015 годы"</t>
  </si>
  <si>
    <t>4207700</t>
  </si>
  <si>
    <t>Расходы на осуществление социальных гарантий молодым специалистам</t>
  </si>
  <si>
    <t>Субсидии бюджетным учреждениям на иные цели (Проведение капитального (текущего) ремонта, реконструкция недвижимого имущества и приобретение оборудования, техники не включаемые в нормативные затраты, связанные с выполнением муниципального задания)</t>
  </si>
  <si>
    <t>982905</t>
  </si>
  <si>
    <t>"Пожарная безопасность образовательных учреждений Алексеевского муниципального района на 2013-2015 годы"</t>
  </si>
  <si>
    <t>983906</t>
  </si>
  <si>
    <t>"Инвестиционная программа по жилищно-коммунальному хозяйству Алексеевского муниципального района на 2013-2015 годы")</t>
  </si>
  <si>
    <t>005</t>
  </si>
  <si>
    <t>Долгосрочная областная целевая программа "Развитие дошкольного образования
 Волгоградской области" на 2011 - 2013 годы</t>
  </si>
  <si>
    <t>5222700</t>
  </si>
  <si>
    <t>Бюджетные инвестиции ("Инвестиционная программа по жилищно-коммунальному хозяйству Алексеевского муниципального района на 2013-2015 годы")</t>
  </si>
  <si>
    <t>Общее образование</t>
  </si>
  <si>
    <t>Школы-детские сады, школы начальные, неполные средние и средние</t>
  </si>
  <si>
    <t>Уплата налога на имущество организаций и земельного налога органами государственной власти и казенными учреждениями</t>
  </si>
  <si>
    <t>4219502</t>
  </si>
  <si>
    <t>Выполнение функций казенными учреждениями</t>
  </si>
  <si>
    <t>Обеспечение деятельности казенных учреждений</t>
  </si>
  <si>
    <t>4219900</t>
  </si>
  <si>
    <t>За счет субвенции на образовательный процесс</t>
  </si>
  <si>
    <t>За счет субвенции на организацию питания</t>
  </si>
  <si>
    <t>Ежемесячное денежное вознаграждение за классное руководство</t>
  </si>
  <si>
    <t>051</t>
  </si>
  <si>
    <t>5200900</t>
  </si>
  <si>
    <t>Модернизация региональных систем общего образования</t>
  </si>
  <si>
    <t>4362100</t>
  </si>
  <si>
    <t>906</t>
  </si>
  <si>
    <t>907</t>
  </si>
  <si>
    <t>Субсидии бюджетным учреждениям на финансовое обеспечение муниципального задания на оказание муниципальных услуг</t>
  </si>
  <si>
    <t>4217700</t>
  </si>
  <si>
    <t>Субсидии бюджетным учреждениям на иные цели (Модернизация региональных систем общего образования за счет средств областного бюджета)</t>
  </si>
  <si>
    <t>983058</t>
  </si>
  <si>
    <t>Субсидии бюджетным учреждениям на иные цели (Модернизация региональных систем общего образования)</t>
  </si>
  <si>
    <t>058</t>
  </si>
  <si>
    <t>Учреждения по внешкольной работе с детьми</t>
  </si>
  <si>
    <t>4237700</t>
  </si>
  <si>
    <t>Ведомственная целевая программа "Развитие дополнительного образования детей в Алексеевском муниципальном районе на 2013-2015 годы"</t>
  </si>
  <si>
    <t>Ведомственная целевая программа "Развитие физической культуры и спорта в учреждении дополнительного образования детей" на 2013-2015 годы</t>
  </si>
  <si>
    <t>903</t>
  </si>
  <si>
    <t>Молодежная политика и оздоровление детей</t>
  </si>
  <si>
    <t>Организационно- воспитательная работа  с молодежью</t>
  </si>
  <si>
    <t>4310000</t>
  </si>
  <si>
    <t>4317700</t>
  </si>
  <si>
    <t>Ведомственная целевая программа "Молодежная политика  на территории Алексеевского муниципального района на 2013-2015 годы"</t>
  </si>
  <si>
    <t>Мероприятия по проведению оздоровительной кампании детей</t>
  </si>
  <si>
    <t>4320000</t>
  </si>
  <si>
    <t>Ведомственная целевая программа"Организация отдыха и оздоровления детей  в  Алексеевском муниципальном районе Волгоградской области на 2013-2015 годы"</t>
  </si>
  <si>
    <t>4327700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</si>
  <si>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</si>
  <si>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4320500</t>
  </si>
  <si>
    <t>"Комплексные меры по противодействию наркомании  на территории Алексеевского муниципального района на 2013-2015 годы"</t>
  </si>
  <si>
    <t>968</t>
  </si>
  <si>
    <t>"Реализация мероприятий молодежной политики и социальной адаптации молодежи на территории Алексеевского муниципального района на 2013-2015 годы"</t>
  </si>
  <si>
    <t>969</t>
  </si>
  <si>
    <t>""Никто не лишний " по профилактики безнадзорности , правонарушений и неблагополучия детей и формирование среды, доброжелательной к детям, на территории Алексеевского муниципального района на 2013-2015 годы</t>
  </si>
  <si>
    <t>970</t>
  </si>
  <si>
    <t>"Организация отдыха и оздоровления детей  на базе МБУ Алексеевского муниципального детского оздоровительного лагеря "Сосенка" на 2013 -2015 г"</t>
  </si>
  <si>
    <t>983909</t>
  </si>
  <si>
    <t>909</t>
  </si>
  <si>
    <t>Другие цели, не включаемые в муниципальное задание(Организация отдыха детей в лагерях дневного пребывания)</t>
  </si>
  <si>
    <t>983912</t>
  </si>
  <si>
    <t>4320202</t>
  </si>
  <si>
    <t>Софинансирование по мероприятиям на оздоровление детей</t>
  </si>
  <si>
    <t>Другие вопросы в области образования</t>
  </si>
  <si>
    <t>Учебно – методические кабинеты, центр.бухгалтерии, группы хоз.обслуживания</t>
  </si>
  <si>
    <t>4529502</t>
  </si>
  <si>
    <t>"Совершенствование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 на 2013-2015 годы"</t>
  </si>
  <si>
    <t xml:space="preserve">Культура, кинематография </t>
  </si>
  <si>
    <t>08</t>
  </si>
  <si>
    <t>Культура</t>
  </si>
  <si>
    <t>Дворцы и дома культуры, другие учреждения культуры</t>
  </si>
  <si>
    <t>Ведомственная целевая программа "Развитие культуры и искусства в Алексеевском муниципальном районе на 2013-2015 годы"</t>
  </si>
  <si>
    <t>4407700</t>
  </si>
  <si>
    <t>«Развитие народных художественных промыслов Алексеевского  муниципального района на 2013-2015 годы»</t>
  </si>
  <si>
    <t>983910</t>
  </si>
  <si>
    <t>"О поддержке деятельности казачьих обществ  Алексеевского муниципального района на 2013-2015 г.г."</t>
  </si>
  <si>
    <t>983911</t>
  </si>
  <si>
    <t>Поддержка мер по обеспечению сбалансированности бюджетов</t>
  </si>
  <si>
    <t>5170201</t>
  </si>
  <si>
    <t>Иные межбюджетные трансферты</t>
  </si>
  <si>
    <t>Музей</t>
  </si>
  <si>
    <t>4417700</t>
  </si>
  <si>
    <t>Библиотеки</t>
  </si>
  <si>
    <t>4427700</t>
  </si>
  <si>
    <t>Дворцы,  дома культуры, другие учреждения культуры и мероприятия по комплектованию книжных фондов библиотек муниципальных образований</t>
  </si>
  <si>
    <t>090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</si>
  <si>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</si>
  <si>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</si>
  <si>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</si>
  <si>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Кинематография</t>
  </si>
  <si>
    <t>Учреждения культуры и мероприятия в сфере культуры и кинематографии</t>
  </si>
  <si>
    <t xml:space="preserve">Другие вопросы в области культуры, кинематографии </t>
  </si>
  <si>
    <t>Централизованные бухгалтерии</t>
  </si>
  <si>
    <t>4527700</t>
  </si>
  <si>
    <t>Здравоохранение</t>
  </si>
  <si>
    <t>Стационарная  медицинская помощь</t>
  </si>
  <si>
    <t>Бюджетные инвестиции в объекты капитального строительства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</si>
  <si>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</si>
  <si>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</si>
  <si>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Фельдшерско- акушерские пункты</t>
  </si>
  <si>
    <t>Строительство ФАП</t>
  </si>
  <si>
    <t>Реализация мероприятий федеральной целевой программы "Социальное развитие села до 2013 года"</t>
  </si>
  <si>
    <t>522</t>
  </si>
  <si>
    <t>1001199</t>
  </si>
  <si>
    <t>009</t>
  </si>
  <si>
    <t>5220904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</si>
  <si>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</si>
  <si>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</si>
  <si>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</si>
  <si>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</si>
  <si>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</si>
  <si>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</si>
  <si>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Оплата жилищно-коммунальных услуг отдельным категориям граждан</t>
  </si>
  <si>
    <t>5058600</t>
  </si>
  <si>
    <t>Субсидии педработникам</t>
  </si>
  <si>
    <t>Субсидии культура</t>
  </si>
  <si>
    <t>Субсидии библиотека</t>
  </si>
  <si>
    <t>947</t>
  </si>
  <si>
    <t>Представление гражданам субсидий на оплату жилого помещения и  ком.услуг</t>
  </si>
  <si>
    <t>5054800</t>
  </si>
  <si>
    <t xml:space="preserve"> Целевая районная программа о развитии ипотечного жилищного кредитования и поддержки молодежи и молодых семей в строительстве и приобретении жилья в Алексеевском муниципальном районе на 2013-2015 г</t>
  </si>
  <si>
    <t>965</t>
  </si>
  <si>
    <t>"Маршрут Победы" на 2013-2015 годы</t>
  </si>
  <si>
    <t>976</t>
  </si>
  <si>
    <t>Охрана семьи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</si>
  <si>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</si>
  <si>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гос.и мун. Образ.учрежден.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</si>
  <si>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</si>
  <si>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Вознаграждение за труд приемного родителя (патронатному воспитателю)</t>
  </si>
  <si>
    <t>5201302</t>
  </si>
  <si>
    <t>Мероприятия по  борьбе с беспризорностью по опеке и попечительству</t>
  </si>
  <si>
    <t>161</t>
  </si>
  <si>
    <t>Обеспечение жилыми помещениями детей – сирот, детей оставшихся без попечения родителей, а так же детей находящихся под опекой, не имеющих жилья</t>
  </si>
  <si>
    <t>5053600</t>
  </si>
  <si>
    <t>165</t>
  </si>
  <si>
    <t>Физическая культура и спорт</t>
  </si>
  <si>
    <t>"Развитие физической культуры и спорта в Алексеевском муниципальном районе на 2013-2015 годы</t>
  </si>
  <si>
    <t xml:space="preserve">Средства массовой информации </t>
  </si>
  <si>
    <t>Телевидение и радиовещание</t>
  </si>
  <si>
    <t>Телерадиокомпании и телеорганизации</t>
  </si>
  <si>
    <t>4530000</t>
  </si>
  <si>
    <t>Ведомственная целевая программа "Производство и трансляция телеканала "Алексеевское муниципальное телевидение" в Алексеевском муниципальном районе на 2013-2015 годы""</t>
  </si>
  <si>
    <t>4538800</t>
  </si>
  <si>
    <t>Периодическая печать и издательство</t>
  </si>
  <si>
    <t>Периодические издания, учрежденные органами законодательной и исполнительной власти</t>
  </si>
  <si>
    <t>Ведомственная целевая программа "Поддержка средств массовой информации  в Алексеевском муниципальном районе на 2013-2015 годы""</t>
  </si>
  <si>
    <t>4577700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</si>
  <si>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</si>
  <si>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</si>
  <si>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 xml:space="preserve">Процентные платежи по государственному долгу Российской Федерации </t>
  </si>
  <si>
    <t>0650100</t>
  </si>
  <si>
    <t>ВСЕГО</t>
  </si>
  <si>
    <t>Приложение 3</t>
  </si>
  <si>
    <t>к постановлению главы администрации</t>
  </si>
  <si>
    <t>Алексеевского муниципального района</t>
  </si>
  <si>
    <t>от _________________2014 г. № ____</t>
  </si>
  <si>
    <t>Руководитель аппарата                                                         А.Ф.Хрипкова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</si>
</sst>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4" fontId="8" fillId="2" borderId="4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right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5" fontId="4" fillId="2" borderId="5" xfId="0" applyNumberFormat="1" applyFont="1" applyFill="1" applyBorder="1" applyAlignment="1">
      <alignment horizontal="right" vertical="top" wrapText="1"/>
    </xf>
    <xf numFmtId="165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5" fillId="3" borderId="6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right" vertical="top" wrapText="1"/>
    </xf>
    <xf numFmtId="164" fontId="9" fillId="2" borderId="6" xfId="0" applyNumberFormat="1" applyFont="1" applyFill="1" applyBorder="1" applyAlignment="1">
      <alignment horizontal="right" vertical="top" wrapText="1"/>
    </xf>
    <xf numFmtId="0" fontId="7" fillId="0" borderId="9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righ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/>
    <xf numFmtId="0" fontId="6" fillId="2" borderId="1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topLeftCell="A303" zoomScale="90" zoomScaleNormal="90" workbookViewId="0">
      <selection activeCell="A311" sqref="A311:IV311"/>
    </sheetView>
  </sheetViews>
  <sheetFormatPr defaultRowHeight="15"/>
  <cols>
    <col min="1" max="1" width="48.28515625" customWidth="1"/>
    <col min="2" max="2" width="6" customWidth="1"/>
    <col min="3" max="3" width="9" customWidth="1"/>
    <col min="4" max="4" width="5.140625" customWidth="1"/>
    <col min="5" max="5" width="5.85546875" customWidth="1"/>
    <col min="6" max="6" width="9.85546875" bestFit="1" customWidth="1"/>
    <col min="7" max="7" width="5.85546875" customWidth="1"/>
    <col min="8" max="8" width="14.28515625" hidden="1" customWidth="1"/>
    <col min="9" max="9" width="13.42578125" hidden="1" customWidth="1"/>
    <col min="10" max="10" width="14.5703125" hidden="1" customWidth="1"/>
    <col min="11" max="12" width="14.42578125" customWidth="1"/>
    <col min="13" max="13" width="10.7109375" customWidth="1"/>
    <col min="14" max="15" width="14.42578125" hidden="1" customWidth="1"/>
  </cols>
  <sheetData>
    <row r="1" spans="1:15" ht="17.25" customHeight="1">
      <c r="A1" s="40" t="s">
        <v>338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</row>
    <row r="2" spans="1:15" ht="13.5" customHeight="1">
      <c r="A2" s="40" t="s">
        <v>339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</row>
    <row r="3" spans="1:15" ht="16.5" customHeight="1">
      <c r="A3" s="40" t="s">
        <v>340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  <c r="O3" s="2"/>
    </row>
    <row r="4" spans="1:15" ht="17.25" customHeight="1">
      <c r="A4" s="2"/>
      <c r="B4" s="2"/>
      <c r="C4" s="2"/>
      <c r="D4" s="2"/>
      <c r="E4" s="2"/>
      <c r="F4" s="40" t="s">
        <v>341</v>
      </c>
      <c r="G4" s="40"/>
      <c r="H4" s="40"/>
      <c r="I4" s="40"/>
      <c r="J4" s="40"/>
      <c r="K4" s="40"/>
      <c r="L4" s="40"/>
      <c r="M4" s="40"/>
      <c r="N4" s="2"/>
      <c r="O4" s="2"/>
    </row>
    <row r="5" spans="1:15" ht="37.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"/>
      <c r="O5" s="2"/>
    </row>
    <row r="6" spans="1:15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2" t="s">
        <v>1</v>
      </c>
      <c r="M6" s="42"/>
      <c r="N6" s="3"/>
      <c r="O6" s="3"/>
    </row>
    <row r="7" spans="1:15" ht="16.5" customHeight="1" thickBot="1">
      <c r="A7" s="4"/>
      <c r="B7" s="37" t="s">
        <v>2</v>
      </c>
      <c r="C7" s="37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5"/>
      <c r="I7" s="29" t="s">
        <v>8</v>
      </c>
      <c r="J7" s="30"/>
      <c r="K7" s="34" t="s">
        <v>9</v>
      </c>
      <c r="L7" s="34" t="s">
        <v>10</v>
      </c>
      <c r="M7" s="34" t="s">
        <v>11</v>
      </c>
      <c r="N7" s="29" t="s">
        <v>8</v>
      </c>
      <c r="O7" s="30"/>
    </row>
    <row r="8" spans="1:15" ht="15.75">
      <c r="A8" s="6"/>
      <c r="B8" s="38"/>
      <c r="C8" s="38"/>
      <c r="D8" s="38"/>
      <c r="E8" s="38"/>
      <c r="F8" s="38"/>
      <c r="G8" s="38"/>
      <c r="H8" s="7" t="s">
        <v>12</v>
      </c>
      <c r="I8" s="31" t="s">
        <v>13</v>
      </c>
      <c r="J8" s="31" t="s">
        <v>14</v>
      </c>
      <c r="K8" s="35"/>
      <c r="L8" s="35"/>
      <c r="M8" s="35"/>
      <c r="N8" s="31" t="s">
        <v>13</v>
      </c>
      <c r="O8" s="31" t="s">
        <v>14</v>
      </c>
    </row>
    <row r="9" spans="1:15" ht="15.75">
      <c r="A9" s="6" t="s">
        <v>15</v>
      </c>
      <c r="B9" s="38"/>
      <c r="C9" s="38"/>
      <c r="D9" s="38"/>
      <c r="E9" s="38"/>
      <c r="F9" s="38"/>
      <c r="G9" s="38"/>
      <c r="H9" s="8">
        <v>41618</v>
      </c>
      <c r="I9" s="32"/>
      <c r="J9" s="32"/>
      <c r="K9" s="35"/>
      <c r="L9" s="35"/>
      <c r="M9" s="35"/>
      <c r="N9" s="32"/>
      <c r="O9" s="32"/>
    </row>
    <row r="10" spans="1:15" ht="33" customHeight="1" thickBot="1">
      <c r="A10" s="9"/>
      <c r="B10" s="39"/>
      <c r="C10" s="39"/>
      <c r="D10" s="39"/>
      <c r="E10" s="39"/>
      <c r="F10" s="39"/>
      <c r="G10" s="39"/>
      <c r="H10" s="10"/>
      <c r="I10" s="33"/>
      <c r="J10" s="33"/>
      <c r="K10" s="36"/>
      <c r="L10" s="36"/>
      <c r="M10" s="36"/>
      <c r="N10" s="33"/>
      <c r="O10" s="33"/>
    </row>
    <row r="11" spans="1:15" ht="16.5" thickBot="1">
      <c r="A11" s="9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/>
      <c r="J11" s="11"/>
      <c r="K11" s="11">
        <v>8</v>
      </c>
      <c r="L11" s="11">
        <v>9</v>
      </c>
      <c r="M11" s="11">
        <v>10</v>
      </c>
      <c r="N11" s="11"/>
      <c r="O11" s="11"/>
    </row>
    <row r="12" spans="1:15" ht="20.25" customHeight="1" thickBot="1">
      <c r="A12" s="12" t="s">
        <v>16</v>
      </c>
      <c r="B12" s="13" t="s">
        <v>17</v>
      </c>
      <c r="C12" s="13"/>
      <c r="D12" s="13"/>
      <c r="E12" s="13"/>
      <c r="F12" s="13"/>
      <c r="G12" s="13"/>
      <c r="H12" s="14">
        <f>SUM(H13)</f>
        <v>400</v>
      </c>
      <c r="I12" s="14">
        <f>SUM(I13)</f>
        <v>0</v>
      </c>
      <c r="J12" s="14">
        <f>SUM(J13)</f>
        <v>12.011939999999999</v>
      </c>
      <c r="K12" s="15">
        <f>SUM(H12:J12)</f>
        <v>412.01193999999998</v>
      </c>
      <c r="L12" s="15">
        <f>SUM(L13)</f>
        <v>412.01193999999998</v>
      </c>
      <c r="M12" s="16">
        <f t="shared" ref="M12:M75" si="0">SUM(L12/K12)*100</f>
        <v>100</v>
      </c>
      <c r="N12" s="14">
        <f>SUM(N13)</f>
        <v>0</v>
      </c>
      <c r="O12" s="14">
        <f>SUM(O13)</f>
        <v>0</v>
      </c>
    </row>
    <row r="13" spans="1:15" ht="18" customHeight="1" thickBot="1">
      <c r="A13" s="12" t="s">
        <v>18</v>
      </c>
      <c r="B13" s="13" t="s">
        <v>17</v>
      </c>
      <c r="C13" s="13"/>
      <c r="D13" s="13" t="s">
        <v>19</v>
      </c>
      <c r="E13" s="13"/>
      <c r="F13" s="13"/>
      <c r="G13" s="13"/>
      <c r="H13" s="14">
        <f t="shared" ref="H13:O13" si="1">SUM(H14+H19)</f>
        <v>400</v>
      </c>
      <c r="I13" s="14">
        <f t="shared" si="1"/>
        <v>0</v>
      </c>
      <c r="J13" s="14">
        <f t="shared" si="1"/>
        <v>12.011939999999999</v>
      </c>
      <c r="K13" s="15">
        <f t="shared" si="1"/>
        <v>412.01193999999998</v>
      </c>
      <c r="L13" s="15">
        <f t="shared" si="1"/>
        <v>412.01193999999998</v>
      </c>
      <c r="M13" s="16">
        <f t="shared" si="0"/>
        <v>100</v>
      </c>
      <c r="N13" s="14">
        <f t="shared" si="1"/>
        <v>0</v>
      </c>
      <c r="O13" s="14">
        <f t="shared" si="1"/>
        <v>0</v>
      </c>
    </row>
    <row r="14" spans="1:15" ht="63.75" thickBot="1">
      <c r="A14" s="12" t="s">
        <v>20</v>
      </c>
      <c r="B14" s="13" t="s">
        <v>17</v>
      </c>
      <c r="C14" s="13"/>
      <c r="D14" s="13" t="s">
        <v>19</v>
      </c>
      <c r="E14" s="13" t="s">
        <v>21</v>
      </c>
      <c r="F14" s="13"/>
      <c r="G14" s="13"/>
      <c r="H14" s="14">
        <f>SUM(H15)</f>
        <v>390</v>
      </c>
      <c r="I14" s="14">
        <f>SUM(I15)</f>
        <v>0</v>
      </c>
      <c r="J14" s="14">
        <f>SUM(J15)</f>
        <v>12.011939999999999</v>
      </c>
      <c r="K14" s="15">
        <f t="shared" ref="K14:K92" si="2">SUM(H14:J14)</f>
        <v>402.01193999999998</v>
      </c>
      <c r="L14" s="15">
        <f>SUM(L15)</f>
        <v>402.01193999999998</v>
      </c>
      <c r="M14" s="16">
        <f t="shared" si="0"/>
        <v>100</v>
      </c>
      <c r="N14" s="14">
        <f>SUM(N15)</f>
        <v>0</v>
      </c>
      <c r="O14" s="14">
        <f>SUM(O15)</f>
        <v>0</v>
      </c>
    </row>
    <row r="15" spans="1:15" ht="48" thickBot="1">
      <c r="A15" s="12" t="s">
        <v>22</v>
      </c>
      <c r="B15" s="13" t="s">
        <v>17</v>
      </c>
      <c r="C15" s="13"/>
      <c r="D15" s="13" t="s">
        <v>19</v>
      </c>
      <c r="E15" s="13" t="s">
        <v>21</v>
      </c>
      <c r="F15" s="13" t="s">
        <v>23</v>
      </c>
      <c r="G15" s="13"/>
      <c r="H15" s="14">
        <f>SUM(H16+H18)</f>
        <v>390</v>
      </c>
      <c r="I15" s="14">
        <f>SUM(I16+I18)</f>
        <v>0</v>
      </c>
      <c r="J15" s="14">
        <f>SUM(J16+J18)</f>
        <v>12.011939999999999</v>
      </c>
      <c r="K15" s="15">
        <f t="shared" si="2"/>
        <v>402.01193999999998</v>
      </c>
      <c r="L15" s="15">
        <f>SUM(L16+L18)</f>
        <v>402.01193999999998</v>
      </c>
      <c r="M15" s="16">
        <f t="shared" si="0"/>
        <v>100</v>
      </c>
      <c r="N15" s="14">
        <f>SUM(N16+N18)</f>
        <v>0</v>
      </c>
      <c r="O15" s="14">
        <f>SUM(O16+O18)</f>
        <v>0</v>
      </c>
    </row>
    <row r="16" spans="1:15" ht="16.5" thickBot="1">
      <c r="A16" s="12" t="s">
        <v>24</v>
      </c>
      <c r="B16" s="13" t="s">
        <v>17</v>
      </c>
      <c r="C16" s="13"/>
      <c r="D16" s="13" t="s">
        <v>19</v>
      </c>
      <c r="E16" s="13" t="s">
        <v>21</v>
      </c>
      <c r="F16" s="13" t="s">
        <v>25</v>
      </c>
      <c r="G16" s="13"/>
      <c r="H16" s="14">
        <f>SUM(H17)</f>
        <v>390</v>
      </c>
      <c r="I16" s="14">
        <f>SUM(I17)</f>
        <v>0</v>
      </c>
      <c r="J16" s="14">
        <f>SUM(J17)</f>
        <v>12.011939999999999</v>
      </c>
      <c r="K16" s="15">
        <f t="shared" si="2"/>
        <v>402.01193999999998</v>
      </c>
      <c r="L16" s="15">
        <f>SUM(L17)</f>
        <v>402.01193999999998</v>
      </c>
      <c r="M16" s="16">
        <f t="shared" si="0"/>
        <v>100</v>
      </c>
      <c r="N16" s="14">
        <f>SUM(N17)</f>
        <v>0</v>
      </c>
      <c r="O16" s="14">
        <f>SUM(O17)</f>
        <v>0</v>
      </c>
    </row>
    <row r="17" spans="1:15" ht="24.75" customHeight="1" thickBot="1">
      <c r="A17" s="12" t="s">
        <v>26</v>
      </c>
      <c r="B17" s="13" t="s">
        <v>17</v>
      </c>
      <c r="C17" s="13"/>
      <c r="D17" s="13" t="s">
        <v>19</v>
      </c>
      <c r="E17" s="13" t="s">
        <v>21</v>
      </c>
      <c r="F17" s="13" t="s">
        <v>25</v>
      </c>
      <c r="G17" s="13">
        <v>500</v>
      </c>
      <c r="H17" s="17">
        <f>389.8+0.2</f>
        <v>390</v>
      </c>
      <c r="I17" s="17"/>
      <c r="J17" s="17">
        <f>12.01194</f>
        <v>12.011939999999999</v>
      </c>
      <c r="K17" s="15">
        <f t="shared" si="2"/>
        <v>402.01193999999998</v>
      </c>
      <c r="L17" s="16">
        <v>402.01193999999998</v>
      </c>
      <c r="M17" s="16">
        <f t="shared" si="0"/>
        <v>100</v>
      </c>
      <c r="N17" s="17"/>
      <c r="O17" s="17"/>
    </row>
    <row r="18" spans="1:15" ht="48" thickBot="1">
      <c r="A18" s="12" t="s">
        <v>27</v>
      </c>
      <c r="B18" s="13" t="s">
        <v>17</v>
      </c>
      <c r="C18" s="13" t="s">
        <v>28</v>
      </c>
      <c r="D18" s="13" t="s">
        <v>19</v>
      </c>
      <c r="E18" s="13" t="s">
        <v>21</v>
      </c>
      <c r="F18" s="13" t="s">
        <v>29</v>
      </c>
      <c r="G18" s="13" t="s">
        <v>30</v>
      </c>
      <c r="H18" s="17">
        <v>0</v>
      </c>
      <c r="I18" s="17"/>
      <c r="J18" s="17"/>
      <c r="K18" s="15">
        <f t="shared" si="2"/>
        <v>0</v>
      </c>
      <c r="L18" s="16">
        <v>0</v>
      </c>
      <c r="M18" s="16">
        <v>0</v>
      </c>
      <c r="N18" s="17"/>
      <c r="O18" s="17"/>
    </row>
    <row r="19" spans="1:15" ht="16.5" thickBot="1">
      <c r="A19" s="12" t="s">
        <v>31</v>
      </c>
      <c r="B19" s="13" t="s">
        <v>17</v>
      </c>
      <c r="C19" s="13"/>
      <c r="D19" s="13" t="s">
        <v>19</v>
      </c>
      <c r="E19" s="13" t="s">
        <v>32</v>
      </c>
      <c r="F19" s="13"/>
      <c r="G19" s="13"/>
      <c r="H19" s="18">
        <f t="shared" ref="H19:O19" si="3">SUM(H20)</f>
        <v>10</v>
      </c>
      <c r="I19" s="18">
        <f t="shared" si="3"/>
        <v>0</v>
      </c>
      <c r="J19" s="18">
        <f t="shared" si="3"/>
        <v>0</v>
      </c>
      <c r="K19" s="16">
        <f t="shared" si="3"/>
        <v>10</v>
      </c>
      <c r="L19" s="16">
        <f t="shared" si="3"/>
        <v>10</v>
      </c>
      <c r="M19" s="16">
        <f t="shared" si="0"/>
        <v>100</v>
      </c>
      <c r="N19" s="18">
        <f t="shared" si="3"/>
        <v>0</v>
      </c>
      <c r="O19" s="18">
        <f t="shared" si="3"/>
        <v>0</v>
      </c>
    </row>
    <row r="20" spans="1:15" ht="48" thickBot="1">
      <c r="A20" s="12" t="s">
        <v>33</v>
      </c>
      <c r="B20" s="13" t="s">
        <v>17</v>
      </c>
      <c r="C20" s="13"/>
      <c r="D20" s="13" t="s">
        <v>19</v>
      </c>
      <c r="E20" s="13" t="s">
        <v>32</v>
      </c>
      <c r="F20" s="13" t="s">
        <v>34</v>
      </c>
      <c r="G20" s="13" t="s">
        <v>30</v>
      </c>
      <c r="H20" s="17">
        <v>10</v>
      </c>
      <c r="I20" s="17"/>
      <c r="J20" s="17"/>
      <c r="K20" s="15">
        <f t="shared" si="2"/>
        <v>10</v>
      </c>
      <c r="L20" s="16">
        <v>10</v>
      </c>
      <c r="M20" s="16">
        <f t="shared" si="0"/>
        <v>100</v>
      </c>
      <c r="N20" s="17"/>
      <c r="O20" s="17"/>
    </row>
    <row r="21" spans="1:15" ht="32.25" thickBot="1">
      <c r="A21" s="12" t="s">
        <v>35</v>
      </c>
      <c r="B21" s="13" t="s">
        <v>36</v>
      </c>
      <c r="C21" s="13"/>
      <c r="D21" s="13"/>
      <c r="E21" s="13"/>
      <c r="F21" s="13"/>
      <c r="G21" s="13"/>
      <c r="H21" s="14">
        <f t="shared" ref="H21:O23" si="4">SUM(H22)</f>
        <v>1234.48558</v>
      </c>
      <c r="I21" s="14">
        <f t="shared" si="4"/>
        <v>0</v>
      </c>
      <c r="J21" s="14">
        <f t="shared" si="4"/>
        <v>-74.772589999999994</v>
      </c>
      <c r="K21" s="15">
        <f t="shared" si="2"/>
        <v>1159.71299</v>
      </c>
      <c r="L21" s="15">
        <f t="shared" si="4"/>
        <v>1159.71299</v>
      </c>
      <c r="M21" s="16">
        <f t="shared" si="0"/>
        <v>100</v>
      </c>
      <c r="N21" s="14">
        <f t="shared" si="4"/>
        <v>0</v>
      </c>
      <c r="O21" s="14">
        <f t="shared" si="4"/>
        <v>0</v>
      </c>
    </row>
    <row r="22" spans="1:15" ht="27" customHeight="1" thickBot="1">
      <c r="A22" s="12" t="s">
        <v>18</v>
      </c>
      <c r="B22" s="13" t="s">
        <v>36</v>
      </c>
      <c r="C22" s="13"/>
      <c r="D22" s="13" t="s">
        <v>19</v>
      </c>
      <c r="E22" s="13"/>
      <c r="F22" s="13"/>
      <c r="G22" s="13"/>
      <c r="H22" s="14">
        <f t="shared" si="4"/>
        <v>1234.48558</v>
      </c>
      <c r="I22" s="14">
        <f t="shared" si="4"/>
        <v>0</v>
      </c>
      <c r="J22" s="14">
        <f t="shared" si="4"/>
        <v>-74.772589999999994</v>
      </c>
      <c r="K22" s="15">
        <f t="shared" si="2"/>
        <v>1159.71299</v>
      </c>
      <c r="L22" s="15">
        <f t="shared" si="4"/>
        <v>1159.71299</v>
      </c>
      <c r="M22" s="16">
        <f t="shared" si="0"/>
        <v>100</v>
      </c>
      <c r="N22" s="14">
        <f t="shared" si="4"/>
        <v>0</v>
      </c>
      <c r="O22" s="14">
        <f t="shared" si="4"/>
        <v>0</v>
      </c>
    </row>
    <row r="23" spans="1:15" ht="53.25" customHeight="1" thickBot="1">
      <c r="A23" s="12" t="s">
        <v>37</v>
      </c>
      <c r="B23" s="13" t="s">
        <v>36</v>
      </c>
      <c r="C23" s="13"/>
      <c r="D23" s="13" t="s">
        <v>19</v>
      </c>
      <c r="E23" s="13" t="s">
        <v>38</v>
      </c>
      <c r="F23" s="13"/>
      <c r="G23" s="13"/>
      <c r="H23" s="14">
        <f t="shared" si="4"/>
        <v>1234.48558</v>
      </c>
      <c r="I23" s="14">
        <f t="shared" si="4"/>
        <v>0</v>
      </c>
      <c r="J23" s="14">
        <f t="shared" si="4"/>
        <v>-74.772589999999994</v>
      </c>
      <c r="K23" s="15">
        <f t="shared" si="2"/>
        <v>1159.71299</v>
      </c>
      <c r="L23" s="15">
        <f t="shared" si="4"/>
        <v>1159.71299</v>
      </c>
      <c r="M23" s="16">
        <f t="shared" si="0"/>
        <v>100</v>
      </c>
      <c r="N23" s="14">
        <f t="shared" si="4"/>
        <v>0</v>
      </c>
      <c r="O23" s="14">
        <f t="shared" si="4"/>
        <v>0</v>
      </c>
    </row>
    <row r="24" spans="1:15" ht="48" thickBot="1">
      <c r="A24" s="12" t="s">
        <v>22</v>
      </c>
      <c r="B24" s="13" t="s">
        <v>36</v>
      </c>
      <c r="C24" s="13"/>
      <c r="D24" s="13" t="s">
        <v>19</v>
      </c>
      <c r="E24" s="13" t="s">
        <v>38</v>
      </c>
      <c r="F24" s="13" t="s">
        <v>23</v>
      </c>
      <c r="G24" s="13"/>
      <c r="H24" s="14">
        <f t="shared" ref="H24:O25" si="5">SUM(H25)</f>
        <v>1234.48558</v>
      </c>
      <c r="I24" s="14">
        <f t="shared" si="5"/>
        <v>0</v>
      </c>
      <c r="J24" s="14">
        <f t="shared" si="5"/>
        <v>-74.772589999999994</v>
      </c>
      <c r="K24" s="15">
        <f t="shared" si="2"/>
        <v>1159.71299</v>
      </c>
      <c r="L24" s="15">
        <f t="shared" si="5"/>
        <v>1159.71299</v>
      </c>
      <c r="M24" s="16">
        <f t="shared" si="0"/>
        <v>100</v>
      </c>
      <c r="N24" s="14">
        <f t="shared" si="5"/>
        <v>0</v>
      </c>
      <c r="O24" s="14">
        <f t="shared" si="5"/>
        <v>0</v>
      </c>
    </row>
    <row r="25" spans="1:15" ht="16.5" thickBot="1">
      <c r="A25" s="12" t="s">
        <v>24</v>
      </c>
      <c r="B25" s="13" t="s">
        <v>36</v>
      </c>
      <c r="C25" s="13"/>
      <c r="D25" s="13" t="s">
        <v>19</v>
      </c>
      <c r="E25" s="13" t="s">
        <v>38</v>
      </c>
      <c r="F25" s="13" t="s">
        <v>25</v>
      </c>
      <c r="G25" s="13"/>
      <c r="H25" s="14">
        <f t="shared" si="5"/>
        <v>1234.48558</v>
      </c>
      <c r="I25" s="14">
        <f t="shared" si="5"/>
        <v>0</v>
      </c>
      <c r="J25" s="14">
        <f t="shared" si="5"/>
        <v>-74.772589999999994</v>
      </c>
      <c r="K25" s="15">
        <f t="shared" si="2"/>
        <v>1159.71299</v>
      </c>
      <c r="L25" s="15">
        <f t="shared" si="5"/>
        <v>1159.71299</v>
      </c>
      <c r="M25" s="16">
        <f t="shared" si="0"/>
        <v>100</v>
      </c>
      <c r="N25" s="14">
        <f t="shared" si="5"/>
        <v>0</v>
      </c>
      <c r="O25" s="14">
        <f t="shared" si="5"/>
        <v>0</v>
      </c>
    </row>
    <row r="26" spans="1:15" ht="32.25" thickBot="1">
      <c r="A26" s="12" t="s">
        <v>26</v>
      </c>
      <c r="B26" s="13" t="s">
        <v>36</v>
      </c>
      <c r="C26" s="13"/>
      <c r="D26" s="13" t="s">
        <v>19</v>
      </c>
      <c r="E26" s="13" t="s">
        <v>38</v>
      </c>
      <c r="F26" s="13" t="s">
        <v>25</v>
      </c>
      <c r="G26" s="13">
        <v>500</v>
      </c>
      <c r="H26" s="17">
        <f>1346.25-111.76442</f>
        <v>1234.48558</v>
      </c>
      <c r="I26" s="17"/>
      <c r="J26" s="17">
        <f>-74.77259</f>
        <v>-74.772589999999994</v>
      </c>
      <c r="K26" s="15">
        <f t="shared" si="2"/>
        <v>1159.71299</v>
      </c>
      <c r="L26" s="16">
        <v>1159.71299</v>
      </c>
      <c r="M26" s="16">
        <f t="shared" si="0"/>
        <v>100</v>
      </c>
      <c r="N26" s="17"/>
      <c r="O26" s="17"/>
    </row>
    <row r="27" spans="1:15" ht="37.5" customHeight="1" thickBot="1">
      <c r="A27" s="12" t="s">
        <v>39</v>
      </c>
      <c r="B27" s="13">
        <v>902</v>
      </c>
      <c r="C27" s="13"/>
      <c r="D27" s="13"/>
      <c r="E27" s="13"/>
      <c r="F27" s="13"/>
      <c r="G27" s="13"/>
      <c r="H27" s="19">
        <f t="shared" ref="H27:O27" si="6">SUM(H28+H92+H97+H107+H121+H132+H136+H210+H251+H263+H292+H295+H306)</f>
        <v>386381.71560999996</v>
      </c>
      <c r="I27" s="19">
        <f t="shared" si="6"/>
        <v>5278.19218</v>
      </c>
      <c r="J27" s="19">
        <f t="shared" si="6"/>
        <v>1020.7709800000003</v>
      </c>
      <c r="K27" s="16">
        <f t="shared" si="6"/>
        <v>392680.67876999994</v>
      </c>
      <c r="L27" s="16">
        <f t="shared" si="6"/>
        <v>357055.55296000006</v>
      </c>
      <c r="M27" s="16">
        <f t="shared" si="0"/>
        <v>90.927711054796717</v>
      </c>
      <c r="N27" s="19">
        <f t="shared" si="6"/>
        <v>0</v>
      </c>
      <c r="O27" s="19">
        <f t="shared" si="6"/>
        <v>0</v>
      </c>
    </row>
    <row r="28" spans="1:15" ht="16.5" thickBot="1">
      <c r="A28" s="12" t="s">
        <v>40</v>
      </c>
      <c r="B28" s="13">
        <v>902</v>
      </c>
      <c r="C28" s="13"/>
      <c r="D28" s="13" t="s">
        <v>19</v>
      </c>
      <c r="E28" s="13"/>
      <c r="F28" s="13"/>
      <c r="G28" s="13"/>
      <c r="H28" s="20">
        <f>H29+H33+H51+H55+H59+H47</f>
        <v>70803.696549999993</v>
      </c>
      <c r="I28" s="20">
        <f>I29+I33+I51+I55+I59+I47</f>
        <v>-258.92</v>
      </c>
      <c r="J28" s="20">
        <f>J29+J33+J51+J55+J59+J47</f>
        <v>3601.97921</v>
      </c>
      <c r="K28" s="15">
        <f t="shared" si="2"/>
        <v>74146.75576</v>
      </c>
      <c r="L28" s="15">
        <f>L29+L33+L51+L55+L59+L47</f>
        <v>69430.622340000002</v>
      </c>
      <c r="M28" s="16">
        <f t="shared" si="0"/>
        <v>93.639460861557737</v>
      </c>
      <c r="N28" s="20">
        <f>N29+N33+N51+N55+N59+N47</f>
        <v>0</v>
      </c>
      <c r="O28" s="20">
        <f>O29+O33+O51+O55+O59+O47</f>
        <v>0</v>
      </c>
    </row>
    <row r="29" spans="1:15" ht="48" thickBot="1">
      <c r="A29" s="12" t="s">
        <v>41</v>
      </c>
      <c r="B29" s="13">
        <v>902</v>
      </c>
      <c r="C29" s="13"/>
      <c r="D29" s="13" t="s">
        <v>19</v>
      </c>
      <c r="E29" s="13" t="s">
        <v>42</v>
      </c>
      <c r="F29" s="13"/>
      <c r="G29" s="13"/>
      <c r="H29" s="14">
        <f t="shared" ref="H29:O31" si="7">SUM(H30)</f>
        <v>1011.76442</v>
      </c>
      <c r="I29" s="14">
        <f t="shared" si="7"/>
        <v>0</v>
      </c>
      <c r="J29" s="14">
        <f t="shared" si="7"/>
        <v>11.52074</v>
      </c>
      <c r="K29" s="15">
        <f t="shared" si="2"/>
        <v>1023.28516</v>
      </c>
      <c r="L29" s="15">
        <f t="shared" si="7"/>
        <v>1023.28516</v>
      </c>
      <c r="M29" s="16">
        <f t="shared" si="0"/>
        <v>100</v>
      </c>
      <c r="N29" s="14">
        <f t="shared" si="7"/>
        <v>0</v>
      </c>
      <c r="O29" s="14">
        <f t="shared" si="7"/>
        <v>0</v>
      </c>
    </row>
    <row r="30" spans="1:15" ht="79.5" thickBot="1">
      <c r="A30" s="12" t="s">
        <v>43</v>
      </c>
      <c r="B30" s="13">
        <v>902</v>
      </c>
      <c r="C30" s="13"/>
      <c r="D30" s="13" t="s">
        <v>19</v>
      </c>
      <c r="E30" s="13" t="s">
        <v>42</v>
      </c>
      <c r="F30" s="13" t="s">
        <v>23</v>
      </c>
      <c r="G30" s="13"/>
      <c r="H30" s="14">
        <f t="shared" si="7"/>
        <v>1011.76442</v>
      </c>
      <c r="I30" s="14">
        <f t="shared" si="7"/>
        <v>0</v>
      </c>
      <c r="J30" s="14">
        <f t="shared" si="7"/>
        <v>11.52074</v>
      </c>
      <c r="K30" s="15">
        <f t="shared" si="2"/>
        <v>1023.28516</v>
      </c>
      <c r="L30" s="15">
        <f t="shared" si="7"/>
        <v>1023.28516</v>
      </c>
      <c r="M30" s="16">
        <f t="shared" si="0"/>
        <v>100</v>
      </c>
      <c r="N30" s="14">
        <f t="shared" si="7"/>
        <v>0</v>
      </c>
      <c r="O30" s="14">
        <f t="shared" si="7"/>
        <v>0</v>
      </c>
    </row>
    <row r="31" spans="1:15" ht="16.5" thickBot="1">
      <c r="A31" s="12" t="s">
        <v>44</v>
      </c>
      <c r="B31" s="13">
        <v>902</v>
      </c>
      <c r="C31" s="13"/>
      <c r="D31" s="13" t="s">
        <v>19</v>
      </c>
      <c r="E31" s="13" t="s">
        <v>42</v>
      </c>
      <c r="F31" s="13" t="s">
        <v>45</v>
      </c>
      <c r="G31" s="13"/>
      <c r="H31" s="14">
        <f t="shared" si="7"/>
        <v>1011.76442</v>
      </c>
      <c r="I31" s="14">
        <f t="shared" si="7"/>
        <v>0</v>
      </c>
      <c r="J31" s="14">
        <f t="shared" si="7"/>
        <v>11.52074</v>
      </c>
      <c r="K31" s="15">
        <f t="shared" si="2"/>
        <v>1023.28516</v>
      </c>
      <c r="L31" s="15">
        <f t="shared" si="7"/>
        <v>1023.28516</v>
      </c>
      <c r="M31" s="16">
        <f t="shared" si="0"/>
        <v>100</v>
      </c>
      <c r="N31" s="14">
        <f t="shared" si="7"/>
        <v>0</v>
      </c>
      <c r="O31" s="14">
        <f t="shared" si="7"/>
        <v>0</v>
      </c>
    </row>
    <row r="32" spans="1:15" ht="32.25" thickBot="1">
      <c r="A32" s="12" t="s">
        <v>46</v>
      </c>
      <c r="B32" s="13">
        <v>902</v>
      </c>
      <c r="C32" s="13"/>
      <c r="D32" s="13" t="s">
        <v>19</v>
      </c>
      <c r="E32" s="13" t="s">
        <v>42</v>
      </c>
      <c r="F32" s="13" t="s">
        <v>45</v>
      </c>
      <c r="G32" s="13">
        <v>500</v>
      </c>
      <c r="H32" s="17">
        <f>900+111.76442</f>
        <v>1011.76442</v>
      </c>
      <c r="I32" s="17"/>
      <c r="J32" s="17">
        <v>11.52074</v>
      </c>
      <c r="K32" s="15">
        <f t="shared" si="2"/>
        <v>1023.28516</v>
      </c>
      <c r="L32" s="16">
        <v>1023.28516</v>
      </c>
      <c r="M32" s="16">
        <f t="shared" si="0"/>
        <v>100</v>
      </c>
      <c r="N32" s="17"/>
      <c r="O32" s="17"/>
    </row>
    <row r="33" spans="1:15" ht="79.5" thickBot="1">
      <c r="A33" s="12" t="s">
        <v>47</v>
      </c>
      <c r="B33" s="13">
        <v>902</v>
      </c>
      <c r="C33" s="13"/>
      <c r="D33" s="13" t="s">
        <v>19</v>
      </c>
      <c r="E33" s="13" t="s">
        <v>48</v>
      </c>
      <c r="F33" s="13"/>
      <c r="G33" s="13"/>
      <c r="H33" s="14">
        <f t="shared" ref="H33:O33" si="8">SUM(H34+H45)</f>
        <v>29622.938430000002</v>
      </c>
      <c r="I33" s="14">
        <f t="shared" si="8"/>
        <v>-8.9</v>
      </c>
      <c r="J33" s="14">
        <f t="shared" si="8"/>
        <v>713.00450000000001</v>
      </c>
      <c r="K33" s="15">
        <f t="shared" si="8"/>
        <v>30327.042930000003</v>
      </c>
      <c r="L33" s="15">
        <f t="shared" si="8"/>
        <v>30215.956930000004</v>
      </c>
      <c r="M33" s="16">
        <f t="shared" si="0"/>
        <v>99.633706457116816</v>
      </c>
      <c r="N33" s="14">
        <f t="shared" si="8"/>
        <v>0</v>
      </c>
      <c r="O33" s="14">
        <f t="shared" si="8"/>
        <v>0</v>
      </c>
    </row>
    <row r="34" spans="1:15" ht="79.5" thickBot="1">
      <c r="A34" s="12" t="s">
        <v>43</v>
      </c>
      <c r="B34" s="13">
        <v>902</v>
      </c>
      <c r="C34" s="13"/>
      <c r="D34" s="13" t="s">
        <v>19</v>
      </c>
      <c r="E34" s="13" t="s">
        <v>48</v>
      </c>
      <c r="F34" s="13" t="s">
        <v>23</v>
      </c>
      <c r="G34" s="13"/>
      <c r="H34" s="14">
        <f>SUM(H35+H43)</f>
        <v>29542.938430000002</v>
      </c>
      <c r="I34" s="14">
        <f>SUM(I35+I43)</f>
        <v>-8.9</v>
      </c>
      <c r="J34" s="14">
        <f>SUM(J35+J43)</f>
        <v>780.85450000000003</v>
      </c>
      <c r="K34" s="15">
        <f t="shared" si="2"/>
        <v>30314.892930000002</v>
      </c>
      <c r="L34" s="15">
        <f>SUM(L35+L43)</f>
        <v>30203.806930000002</v>
      </c>
      <c r="M34" s="16">
        <f t="shared" si="0"/>
        <v>99.633559649191213</v>
      </c>
      <c r="N34" s="14">
        <f>SUM(N35+N43)</f>
        <v>0</v>
      </c>
      <c r="O34" s="14">
        <f>SUM(O35+O43)</f>
        <v>0</v>
      </c>
    </row>
    <row r="35" spans="1:15" ht="16.5" thickBot="1">
      <c r="A35" s="12" t="s">
        <v>24</v>
      </c>
      <c r="B35" s="13">
        <v>902</v>
      </c>
      <c r="C35" s="13"/>
      <c r="D35" s="13" t="s">
        <v>19</v>
      </c>
      <c r="E35" s="13" t="s">
        <v>48</v>
      </c>
      <c r="F35" s="13" t="s">
        <v>25</v>
      </c>
      <c r="G35" s="13"/>
      <c r="H35" s="14">
        <f>SUM(H36)</f>
        <v>28577.938430000002</v>
      </c>
      <c r="I35" s="14">
        <f>SUM(I36)</f>
        <v>-8.9</v>
      </c>
      <c r="J35" s="14">
        <f>SUM(J36)</f>
        <v>776.13650000000007</v>
      </c>
      <c r="K35" s="15">
        <f t="shared" si="2"/>
        <v>29345.174930000001</v>
      </c>
      <c r="L35" s="15">
        <f>SUM(L36)</f>
        <v>29234.088930000002</v>
      </c>
      <c r="M35" s="16">
        <f t="shared" si="0"/>
        <v>99.621450544203654</v>
      </c>
      <c r="N35" s="14">
        <f>SUM(N36)</f>
        <v>0</v>
      </c>
      <c r="O35" s="14">
        <f>SUM(O36)</f>
        <v>0</v>
      </c>
    </row>
    <row r="36" spans="1:15" ht="32.25" thickBot="1">
      <c r="A36" s="12" t="s">
        <v>46</v>
      </c>
      <c r="B36" s="13">
        <v>902</v>
      </c>
      <c r="C36" s="13"/>
      <c r="D36" s="13" t="s">
        <v>19</v>
      </c>
      <c r="E36" s="13" t="s">
        <v>48</v>
      </c>
      <c r="F36" s="13" t="s">
        <v>25</v>
      </c>
      <c r="G36" s="13">
        <v>500</v>
      </c>
      <c r="H36" s="14">
        <f>SUM(H37:H42)</f>
        <v>28577.938430000002</v>
      </c>
      <c r="I36" s="14">
        <f>SUM(I37:I42)</f>
        <v>-8.9</v>
      </c>
      <c r="J36" s="14">
        <f>SUM(J37:J42)</f>
        <v>776.13650000000007</v>
      </c>
      <c r="K36" s="15">
        <f t="shared" si="2"/>
        <v>29345.174930000001</v>
      </c>
      <c r="L36" s="15">
        <f>SUM(L37:L42)</f>
        <v>29234.088930000002</v>
      </c>
      <c r="M36" s="16">
        <f t="shared" si="0"/>
        <v>99.621450544203654</v>
      </c>
      <c r="N36" s="14">
        <f>SUM(N37:N42)</f>
        <v>0</v>
      </c>
      <c r="O36" s="14">
        <f>SUM(O37:O42)</f>
        <v>0</v>
      </c>
    </row>
    <row r="37" spans="1:15" ht="32.25" thickBot="1">
      <c r="A37" s="12" t="s">
        <v>46</v>
      </c>
      <c r="B37" s="13">
        <v>902</v>
      </c>
      <c r="C37" s="13">
        <v>0</v>
      </c>
      <c r="D37" s="13" t="s">
        <v>19</v>
      </c>
      <c r="E37" s="13" t="s">
        <v>48</v>
      </c>
      <c r="F37" s="13" t="s">
        <v>25</v>
      </c>
      <c r="G37" s="13">
        <v>500</v>
      </c>
      <c r="H37" s="17">
        <f>20128.2-80</f>
        <v>20048.2</v>
      </c>
      <c r="I37" s="17"/>
      <c r="J37" s="17">
        <f>67.85+9.18457+0.06+0.0094+67.648+365.04803+16.94707+369.793-11.91742+50</f>
        <v>934.62265000000002</v>
      </c>
      <c r="K37" s="15">
        <f t="shared" si="2"/>
        <v>20982.822650000002</v>
      </c>
      <c r="L37" s="16">
        <v>20982.822649999998</v>
      </c>
      <c r="M37" s="16">
        <f t="shared" si="0"/>
        <v>99.999999999999972</v>
      </c>
      <c r="N37" s="17"/>
      <c r="O37" s="17"/>
    </row>
    <row r="38" spans="1:15" ht="32.25" thickBot="1">
      <c r="A38" s="12" t="s">
        <v>49</v>
      </c>
      <c r="B38" s="13">
        <v>902</v>
      </c>
      <c r="C38" s="13">
        <v>940</v>
      </c>
      <c r="D38" s="13" t="s">
        <v>19</v>
      </c>
      <c r="E38" s="13" t="s">
        <v>48</v>
      </c>
      <c r="F38" s="13" t="s">
        <v>25</v>
      </c>
      <c r="G38" s="13">
        <v>500</v>
      </c>
      <c r="H38" s="17">
        <v>306.39999999999998</v>
      </c>
      <c r="I38" s="17"/>
      <c r="J38" s="17"/>
      <c r="K38" s="15">
        <f t="shared" si="2"/>
        <v>306.39999999999998</v>
      </c>
      <c r="L38" s="16">
        <v>306.39999999999998</v>
      </c>
      <c r="M38" s="16">
        <f t="shared" si="0"/>
        <v>100</v>
      </c>
      <c r="N38" s="17"/>
      <c r="O38" s="17"/>
    </row>
    <row r="39" spans="1:15" ht="32.25" thickBot="1">
      <c r="A39" s="12" t="s">
        <v>50</v>
      </c>
      <c r="B39" s="13">
        <v>902</v>
      </c>
      <c r="C39" s="13">
        <v>941</v>
      </c>
      <c r="D39" s="13" t="s">
        <v>19</v>
      </c>
      <c r="E39" s="13" t="s">
        <v>48</v>
      </c>
      <c r="F39" s="13" t="s">
        <v>25</v>
      </c>
      <c r="G39" s="13">
        <v>500</v>
      </c>
      <c r="H39" s="17">
        <v>236</v>
      </c>
      <c r="I39" s="17"/>
      <c r="J39" s="17"/>
      <c r="K39" s="15">
        <f t="shared" si="2"/>
        <v>236</v>
      </c>
      <c r="L39" s="16">
        <v>236</v>
      </c>
      <c r="M39" s="16">
        <f t="shared" si="0"/>
        <v>100</v>
      </c>
      <c r="N39" s="17"/>
      <c r="O39" s="17"/>
    </row>
    <row r="40" spans="1:15" ht="32.25" thickBot="1">
      <c r="A40" s="12" t="s">
        <v>51</v>
      </c>
      <c r="B40" s="13">
        <v>902</v>
      </c>
      <c r="C40" s="13">
        <v>942</v>
      </c>
      <c r="D40" s="13" t="s">
        <v>19</v>
      </c>
      <c r="E40" s="13" t="s">
        <v>48</v>
      </c>
      <c r="F40" s="13" t="s">
        <v>25</v>
      </c>
      <c r="G40" s="13">
        <v>500</v>
      </c>
      <c r="H40" s="17">
        <v>774.51832000000002</v>
      </c>
      <c r="I40" s="17">
        <v>-8.9</v>
      </c>
      <c r="J40" s="17"/>
      <c r="K40" s="15">
        <f t="shared" si="2"/>
        <v>765.61832000000004</v>
      </c>
      <c r="L40" s="16">
        <v>765.61832000000004</v>
      </c>
      <c r="M40" s="16">
        <f t="shared" si="0"/>
        <v>100</v>
      </c>
      <c r="N40" s="17"/>
      <c r="O40" s="17"/>
    </row>
    <row r="41" spans="1:15" ht="16.5" thickBot="1">
      <c r="A41" s="12" t="s">
        <v>52</v>
      </c>
      <c r="B41" s="13">
        <v>902</v>
      </c>
      <c r="C41" s="13">
        <v>943</v>
      </c>
      <c r="D41" s="13" t="s">
        <v>19</v>
      </c>
      <c r="E41" s="13" t="s">
        <v>48</v>
      </c>
      <c r="F41" s="13" t="s">
        <v>25</v>
      </c>
      <c r="G41" s="13">
        <v>500</v>
      </c>
      <c r="H41" s="17">
        <v>1385.90698</v>
      </c>
      <c r="I41" s="17"/>
      <c r="J41" s="17"/>
      <c r="K41" s="15">
        <f t="shared" si="2"/>
        <v>1385.90698</v>
      </c>
      <c r="L41" s="16">
        <f>1385.90698-111.086</f>
        <v>1274.82098</v>
      </c>
      <c r="M41" s="16">
        <f t="shared" si="0"/>
        <v>91.984599139546859</v>
      </c>
      <c r="N41" s="17"/>
      <c r="O41" s="17"/>
    </row>
    <row r="42" spans="1:15" ht="16.5" thickBot="1">
      <c r="A42" s="12" t="s">
        <v>53</v>
      </c>
      <c r="B42" s="13">
        <v>902</v>
      </c>
      <c r="C42" s="13" t="s">
        <v>54</v>
      </c>
      <c r="D42" s="13" t="s">
        <v>19</v>
      </c>
      <c r="E42" s="13" t="s">
        <v>48</v>
      </c>
      <c r="F42" s="13" t="s">
        <v>25</v>
      </c>
      <c r="G42" s="13">
        <v>500</v>
      </c>
      <c r="H42" s="17">
        <v>5826.9131299999999</v>
      </c>
      <c r="I42" s="17"/>
      <c r="J42" s="17">
        <f>-50-108.48615</f>
        <v>-158.48615000000001</v>
      </c>
      <c r="K42" s="15">
        <f t="shared" si="2"/>
        <v>5668.4269800000002</v>
      </c>
      <c r="L42" s="16">
        <v>5668.4269800000002</v>
      </c>
      <c r="M42" s="16">
        <f t="shared" si="0"/>
        <v>100</v>
      </c>
      <c r="N42" s="17"/>
      <c r="O42" s="17"/>
    </row>
    <row r="43" spans="1:15" ht="54.75" customHeight="1" thickBot="1">
      <c r="A43" s="12" t="s">
        <v>55</v>
      </c>
      <c r="B43" s="13">
        <v>902</v>
      </c>
      <c r="C43" s="13">
        <v>0</v>
      </c>
      <c r="D43" s="13" t="s">
        <v>19</v>
      </c>
      <c r="E43" s="13" t="s">
        <v>48</v>
      </c>
      <c r="F43" s="13" t="s">
        <v>56</v>
      </c>
      <c r="G43" s="13"/>
      <c r="H43" s="18">
        <f>SUM(H44)</f>
        <v>965</v>
      </c>
      <c r="I43" s="18">
        <f>SUM(I44)</f>
        <v>0</v>
      </c>
      <c r="J43" s="18">
        <f>SUM(J44)</f>
        <v>4.718</v>
      </c>
      <c r="K43" s="15">
        <f t="shared" si="2"/>
        <v>969.71799999999996</v>
      </c>
      <c r="L43" s="16">
        <f>SUM(L44)</f>
        <v>969.71799999999996</v>
      </c>
      <c r="M43" s="16">
        <f t="shared" si="0"/>
        <v>100</v>
      </c>
      <c r="N43" s="18">
        <f>SUM(N44)</f>
        <v>0</v>
      </c>
      <c r="O43" s="18">
        <f>SUM(O44)</f>
        <v>0</v>
      </c>
    </row>
    <row r="44" spans="1:15" ht="32.25" thickBot="1">
      <c r="A44" s="12" t="s">
        <v>46</v>
      </c>
      <c r="B44" s="13">
        <v>902</v>
      </c>
      <c r="C44" s="13">
        <v>0</v>
      </c>
      <c r="D44" s="13" t="s">
        <v>19</v>
      </c>
      <c r="E44" s="13" t="s">
        <v>48</v>
      </c>
      <c r="F44" s="13" t="s">
        <v>56</v>
      </c>
      <c r="G44" s="13" t="s">
        <v>30</v>
      </c>
      <c r="H44" s="17">
        <v>965</v>
      </c>
      <c r="I44" s="17"/>
      <c r="J44" s="17">
        <v>4.718</v>
      </c>
      <c r="K44" s="15">
        <f t="shared" si="2"/>
        <v>969.71799999999996</v>
      </c>
      <c r="L44" s="16">
        <v>969.71799999999996</v>
      </c>
      <c r="M44" s="16">
        <f t="shared" si="0"/>
        <v>100</v>
      </c>
      <c r="N44" s="17"/>
      <c r="O44" s="17"/>
    </row>
    <row r="45" spans="1:15" ht="22.5" customHeight="1" thickBot="1">
      <c r="A45" s="12" t="s">
        <v>57</v>
      </c>
      <c r="B45" s="13" t="s">
        <v>58</v>
      </c>
      <c r="C45" s="13"/>
      <c r="D45" s="13" t="s">
        <v>19</v>
      </c>
      <c r="E45" s="13" t="s">
        <v>48</v>
      </c>
      <c r="F45" s="13" t="s">
        <v>59</v>
      </c>
      <c r="G45" s="13"/>
      <c r="H45" s="18">
        <f t="shared" ref="H45:O45" si="9">SUM(H46)</f>
        <v>80</v>
      </c>
      <c r="I45" s="18">
        <f t="shared" si="9"/>
        <v>0</v>
      </c>
      <c r="J45" s="18">
        <f t="shared" si="9"/>
        <v>-67.849999999999994</v>
      </c>
      <c r="K45" s="16">
        <f t="shared" si="9"/>
        <v>12.150000000000006</v>
      </c>
      <c r="L45" s="16">
        <f t="shared" si="9"/>
        <v>12.15</v>
      </c>
      <c r="M45" s="16">
        <f t="shared" si="0"/>
        <v>99.999999999999957</v>
      </c>
      <c r="N45" s="18">
        <f t="shared" si="9"/>
        <v>0</v>
      </c>
      <c r="O45" s="18">
        <f t="shared" si="9"/>
        <v>0</v>
      </c>
    </row>
    <row r="46" spans="1:15" ht="63.75" thickBot="1">
      <c r="A46" s="12" t="s">
        <v>60</v>
      </c>
      <c r="B46" s="13" t="s">
        <v>58</v>
      </c>
      <c r="C46" s="13"/>
      <c r="D46" s="13" t="s">
        <v>19</v>
      </c>
      <c r="E46" s="13" t="s">
        <v>48</v>
      </c>
      <c r="F46" s="13" t="s">
        <v>59</v>
      </c>
      <c r="G46" s="13" t="s">
        <v>30</v>
      </c>
      <c r="H46" s="17">
        <v>80</v>
      </c>
      <c r="I46" s="17"/>
      <c r="J46" s="17">
        <v>-67.849999999999994</v>
      </c>
      <c r="K46" s="15">
        <f t="shared" si="2"/>
        <v>12.150000000000006</v>
      </c>
      <c r="L46" s="16">
        <v>12.15</v>
      </c>
      <c r="M46" s="16">
        <f t="shared" si="0"/>
        <v>99.999999999999957</v>
      </c>
      <c r="N46" s="17"/>
      <c r="O46" s="17"/>
    </row>
    <row r="47" spans="1:15" ht="16.5" thickBot="1">
      <c r="A47" s="12" t="s">
        <v>61</v>
      </c>
      <c r="B47" s="13" t="s">
        <v>58</v>
      </c>
      <c r="C47" s="13"/>
      <c r="D47" s="13" t="s">
        <v>19</v>
      </c>
      <c r="E47" s="13" t="s">
        <v>62</v>
      </c>
      <c r="F47" s="13"/>
      <c r="G47" s="13"/>
      <c r="H47" s="18">
        <f t="shared" ref="H47:O49" si="10">SUM(H48)</f>
        <v>0</v>
      </c>
      <c r="I47" s="18">
        <f t="shared" si="10"/>
        <v>0</v>
      </c>
      <c r="J47" s="18">
        <f t="shared" si="10"/>
        <v>0</v>
      </c>
      <c r="K47" s="15">
        <f t="shared" si="2"/>
        <v>0</v>
      </c>
      <c r="L47" s="16">
        <f t="shared" si="10"/>
        <v>0</v>
      </c>
      <c r="M47" s="16">
        <v>0</v>
      </c>
      <c r="N47" s="18">
        <f t="shared" si="10"/>
        <v>0</v>
      </c>
      <c r="O47" s="18">
        <f t="shared" si="10"/>
        <v>0</v>
      </c>
    </row>
    <row r="48" spans="1:15" ht="32.25" thickBot="1">
      <c r="A48" s="12" t="s">
        <v>63</v>
      </c>
      <c r="B48" s="13" t="s">
        <v>58</v>
      </c>
      <c r="C48" s="13"/>
      <c r="D48" s="13" t="s">
        <v>19</v>
      </c>
      <c r="E48" s="13" t="s">
        <v>62</v>
      </c>
      <c r="F48" s="13" t="s">
        <v>64</v>
      </c>
      <c r="G48" s="13"/>
      <c r="H48" s="18">
        <f t="shared" si="10"/>
        <v>0</v>
      </c>
      <c r="I48" s="18">
        <f t="shared" si="10"/>
        <v>0</v>
      </c>
      <c r="J48" s="18">
        <f t="shared" si="10"/>
        <v>0</v>
      </c>
      <c r="K48" s="15">
        <f t="shared" si="2"/>
        <v>0</v>
      </c>
      <c r="L48" s="16">
        <f t="shared" si="10"/>
        <v>0</v>
      </c>
      <c r="M48" s="16">
        <v>0</v>
      </c>
      <c r="N48" s="18">
        <f t="shared" si="10"/>
        <v>0</v>
      </c>
      <c r="O48" s="18">
        <f t="shared" si="10"/>
        <v>0</v>
      </c>
    </row>
    <row r="49" spans="1:15" ht="48" thickBot="1">
      <c r="A49" s="12" t="s">
        <v>65</v>
      </c>
      <c r="B49" s="13" t="s">
        <v>58</v>
      </c>
      <c r="C49" s="13"/>
      <c r="D49" s="13" t="s">
        <v>19</v>
      </c>
      <c r="E49" s="13" t="s">
        <v>62</v>
      </c>
      <c r="F49" s="13" t="s">
        <v>66</v>
      </c>
      <c r="G49" s="13"/>
      <c r="H49" s="18">
        <f>SUM(H50)</f>
        <v>0</v>
      </c>
      <c r="I49" s="18">
        <f t="shared" si="10"/>
        <v>0</v>
      </c>
      <c r="J49" s="18">
        <f t="shared" si="10"/>
        <v>0</v>
      </c>
      <c r="K49" s="15">
        <f t="shared" si="2"/>
        <v>0</v>
      </c>
      <c r="L49" s="16">
        <f t="shared" si="10"/>
        <v>0</v>
      </c>
      <c r="M49" s="16">
        <v>0</v>
      </c>
      <c r="N49" s="18">
        <f t="shared" si="10"/>
        <v>0</v>
      </c>
      <c r="O49" s="18">
        <f t="shared" si="10"/>
        <v>0</v>
      </c>
    </row>
    <row r="50" spans="1:15" ht="16.5" thickBot="1">
      <c r="A50" s="12" t="s">
        <v>67</v>
      </c>
      <c r="B50" s="13" t="s">
        <v>58</v>
      </c>
      <c r="C50" s="13" t="s">
        <v>68</v>
      </c>
      <c r="D50" s="13" t="s">
        <v>19</v>
      </c>
      <c r="E50" s="13" t="s">
        <v>62</v>
      </c>
      <c r="F50" s="13" t="s">
        <v>66</v>
      </c>
      <c r="G50" s="13" t="s">
        <v>69</v>
      </c>
      <c r="H50" s="17">
        <v>0</v>
      </c>
      <c r="I50" s="17"/>
      <c r="J50" s="17"/>
      <c r="K50" s="15">
        <f t="shared" si="2"/>
        <v>0</v>
      </c>
      <c r="L50" s="16"/>
      <c r="M50" s="16">
        <v>0</v>
      </c>
      <c r="N50" s="17"/>
      <c r="O50" s="17"/>
    </row>
    <row r="51" spans="1:15" ht="32.25" thickBot="1">
      <c r="A51" s="12" t="s">
        <v>70</v>
      </c>
      <c r="B51" s="13" t="s">
        <v>58</v>
      </c>
      <c r="C51" s="13"/>
      <c r="D51" s="13" t="s">
        <v>19</v>
      </c>
      <c r="E51" s="13" t="s">
        <v>71</v>
      </c>
      <c r="F51" s="13"/>
      <c r="G51" s="13"/>
      <c r="H51" s="18">
        <f t="shared" ref="H51:O53" si="11">SUM(H52)</f>
        <v>477.786</v>
      </c>
      <c r="I51" s="18">
        <f t="shared" si="11"/>
        <v>0</v>
      </c>
      <c r="J51" s="18">
        <f t="shared" si="11"/>
        <v>0</v>
      </c>
      <c r="K51" s="15">
        <f t="shared" si="2"/>
        <v>477.786</v>
      </c>
      <c r="L51" s="16">
        <f t="shared" si="11"/>
        <v>477.786</v>
      </c>
      <c r="M51" s="16">
        <f t="shared" si="0"/>
        <v>100</v>
      </c>
      <c r="N51" s="18">
        <f t="shared" si="11"/>
        <v>0</v>
      </c>
      <c r="O51" s="18">
        <f t="shared" si="11"/>
        <v>0</v>
      </c>
    </row>
    <row r="52" spans="1:15" ht="16.5" thickBot="1">
      <c r="A52" s="12" t="s">
        <v>72</v>
      </c>
      <c r="B52" s="13" t="s">
        <v>58</v>
      </c>
      <c r="C52" s="13"/>
      <c r="D52" s="13" t="s">
        <v>19</v>
      </c>
      <c r="E52" s="13" t="s">
        <v>71</v>
      </c>
      <c r="F52" s="13" t="s">
        <v>73</v>
      </c>
      <c r="G52" s="13"/>
      <c r="H52" s="18">
        <f t="shared" si="11"/>
        <v>477.786</v>
      </c>
      <c r="I52" s="18">
        <f t="shared" si="11"/>
        <v>0</v>
      </c>
      <c r="J52" s="18">
        <f t="shared" si="11"/>
        <v>0</v>
      </c>
      <c r="K52" s="15">
        <f t="shared" si="2"/>
        <v>477.786</v>
      </c>
      <c r="L52" s="16">
        <f t="shared" si="11"/>
        <v>477.786</v>
      </c>
      <c r="M52" s="16">
        <f t="shared" si="0"/>
        <v>100</v>
      </c>
      <c r="N52" s="18">
        <f t="shared" si="11"/>
        <v>0</v>
      </c>
      <c r="O52" s="18">
        <f t="shared" si="11"/>
        <v>0</v>
      </c>
    </row>
    <row r="53" spans="1:15" ht="32.25" thickBot="1">
      <c r="A53" s="12" t="s">
        <v>74</v>
      </c>
      <c r="B53" s="13" t="s">
        <v>58</v>
      </c>
      <c r="C53" s="13"/>
      <c r="D53" s="13" t="s">
        <v>19</v>
      </c>
      <c r="E53" s="13" t="s">
        <v>71</v>
      </c>
      <c r="F53" s="13" t="s">
        <v>75</v>
      </c>
      <c r="G53" s="13"/>
      <c r="H53" s="18">
        <f t="shared" si="11"/>
        <v>477.786</v>
      </c>
      <c r="I53" s="18">
        <f t="shared" si="11"/>
        <v>0</v>
      </c>
      <c r="J53" s="18">
        <f t="shared" si="11"/>
        <v>0</v>
      </c>
      <c r="K53" s="15">
        <f t="shared" si="2"/>
        <v>477.786</v>
      </c>
      <c r="L53" s="16">
        <f t="shared" si="11"/>
        <v>477.786</v>
      </c>
      <c r="M53" s="16">
        <f t="shared" si="0"/>
        <v>100</v>
      </c>
      <c r="N53" s="18">
        <f t="shared" si="11"/>
        <v>0</v>
      </c>
      <c r="O53" s="18">
        <f t="shared" si="11"/>
        <v>0</v>
      </c>
    </row>
    <row r="54" spans="1:15" ht="32.25" thickBot="1">
      <c r="A54" s="12" t="s">
        <v>76</v>
      </c>
      <c r="B54" s="13" t="s">
        <v>58</v>
      </c>
      <c r="C54" s="13"/>
      <c r="D54" s="13" t="s">
        <v>19</v>
      </c>
      <c r="E54" s="13" t="s">
        <v>71</v>
      </c>
      <c r="F54" s="13" t="s">
        <v>75</v>
      </c>
      <c r="G54" s="13" t="s">
        <v>30</v>
      </c>
      <c r="H54" s="17">
        <v>477.786</v>
      </c>
      <c r="I54" s="17"/>
      <c r="J54" s="17"/>
      <c r="K54" s="15">
        <f t="shared" si="2"/>
        <v>477.786</v>
      </c>
      <c r="L54" s="16">
        <v>477.786</v>
      </c>
      <c r="M54" s="16">
        <f t="shared" si="0"/>
        <v>100</v>
      </c>
      <c r="N54" s="17"/>
      <c r="O54" s="17"/>
    </row>
    <row r="55" spans="1:15" ht="16.5" thickBot="1">
      <c r="A55" s="12" t="s">
        <v>77</v>
      </c>
      <c r="B55" s="13">
        <v>902</v>
      </c>
      <c r="C55" s="13"/>
      <c r="D55" s="13" t="s">
        <v>19</v>
      </c>
      <c r="E55" s="13" t="s">
        <v>78</v>
      </c>
      <c r="F55" s="13"/>
      <c r="G55" s="13"/>
      <c r="H55" s="14">
        <f t="shared" ref="H55:O57" si="12">SUM(H56)</f>
        <v>1000</v>
      </c>
      <c r="I55" s="14">
        <f t="shared" si="12"/>
        <v>0</v>
      </c>
      <c r="J55" s="14">
        <f t="shared" si="12"/>
        <v>-1000</v>
      </c>
      <c r="K55" s="15">
        <f t="shared" si="2"/>
        <v>0</v>
      </c>
      <c r="L55" s="15">
        <f t="shared" si="12"/>
        <v>0</v>
      </c>
      <c r="M55" s="16">
        <v>0</v>
      </c>
      <c r="N55" s="14">
        <f t="shared" si="12"/>
        <v>0</v>
      </c>
      <c r="O55" s="14">
        <f t="shared" si="12"/>
        <v>0</v>
      </c>
    </row>
    <row r="56" spans="1:15" ht="16.5" thickBot="1">
      <c r="A56" s="12" t="s">
        <v>77</v>
      </c>
      <c r="B56" s="13">
        <v>902</v>
      </c>
      <c r="C56" s="13"/>
      <c r="D56" s="13" t="s">
        <v>19</v>
      </c>
      <c r="E56" s="13" t="s">
        <v>78</v>
      </c>
      <c r="F56" s="13" t="s">
        <v>79</v>
      </c>
      <c r="G56" s="13"/>
      <c r="H56" s="14">
        <f t="shared" si="12"/>
        <v>1000</v>
      </c>
      <c r="I56" s="14">
        <f t="shared" si="12"/>
        <v>0</v>
      </c>
      <c r="J56" s="14">
        <f t="shared" si="12"/>
        <v>-1000</v>
      </c>
      <c r="K56" s="15">
        <f t="shared" si="2"/>
        <v>0</v>
      </c>
      <c r="L56" s="15">
        <f t="shared" si="12"/>
        <v>0</v>
      </c>
      <c r="M56" s="16">
        <v>0</v>
      </c>
      <c r="N56" s="14">
        <f t="shared" si="12"/>
        <v>0</v>
      </c>
      <c r="O56" s="14">
        <f t="shared" si="12"/>
        <v>0</v>
      </c>
    </row>
    <row r="57" spans="1:15" ht="16.5" thickBot="1">
      <c r="A57" s="12" t="s">
        <v>80</v>
      </c>
      <c r="B57" s="13">
        <v>902</v>
      </c>
      <c r="C57" s="13"/>
      <c r="D57" s="13" t="s">
        <v>19</v>
      </c>
      <c r="E57" s="13" t="s">
        <v>78</v>
      </c>
      <c r="F57" s="13" t="s">
        <v>81</v>
      </c>
      <c r="G57" s="13"/>
      <c r="H57" s="14">
        <f t="shared" si="12"/>
        <v>1000</v>
      </c>
      <c r="I57" s="14">
        <f t="shared" si="12"/>
        <v>0</v>
      </c>
      <c r="J57" s="14">
        <f t="shared" si="12"/>
        <v>-1000</v>
      </c>
      <c r="K57" s="15">
        <f t="shared" si="2"/>
        <v>0</v>
      </c>
      <c r="L57" s="15">
        <f t="shared" si="12"/>
        <v>0</v>
      </c>
      <c r="M57" s="16">
        <v>0</v>
      </c>
      <c r="N57" s="14">
        <f t="shared" si="12"/>
        <v>0</v>
      </c>
      <c r="O57" s="14">
        <f t="shared" si="12"/>
        <v>0</v>
      </c>
    </row>
    <row r="58" spans="1:15" ht="16.5" thickBot="1">
      <c r="A58" s="12" t="s">
        <v>67</v>
      </c>
      <c r="B58" s="13">
        <v>902</v>
      </c>
      <c r="C58" s="13"/>
      <c r="D58" s="13" t="s">
        <v>19</v>
      </c>
      <c r="E58" s="13" t="s">
        <v>78</v>
      </c>
      <c r="F58" s="13" t="s">
        <v>81</v>
      </c>
      <c r="G58" s="13" t="s">
        <v>69</v>
      </c>
      <c r="H58" s="17">
        <v>1000</v>
      </c>
      <c r="I58" s="17"/>
      <c r="J58" s="17">
        <f>-462.54803-85.18092-16.94707-435.32398</f>
        <v>-1000</v>
      </c>
      <c r="K58" s="15">
        <f t="shared" si="2"/>
        <v>0</v>
      </c>
      <c r="L58" s="16"/>
      <c r="M58" s="16">
        <v>0</v>
      </c>
      <c r="N58" s="17"/>
      <c r="O58" s="17"/>
    </row>
    <row r="59" spans="1:15" ht="16.5" thickBot="1">
      <c r="A59" s="12" t="s">
        <v>31</v>
      </c>
      <c r="B59" s="13">
        <v>902</v>
      </c>
      <c r="C59" s="13"/>
      <c r="D59" s="13" t="s">
        <v>19</v>
      </c>
      <c r="E59" s="13" t="s">
        <v>32</v>
      </c>
      <c r="F59" s="13"/>
      <c r="G59" s="13"/>
      <c r="H59" s="18">
        <f t="shared" ref="H59:O59" si="13">SUM(H60+H62+H65+H81+H84+H91+H83+H61+H78)</f>
        <v>38691.207699999999</v>
      </c>
      <c r="I59" s="18">
        <f t="shared" si="13"/>
        <v>-250.02</v>
      </c>
      <c r="J59" s="18">
        <f t="shared" si="13"/>
        <v>3877.45397</v>
      </c>
      <c r="K59" s="16">
        <f t="shared" si="13"/>
        <v>42318.641669999997</v>
      </c>
      <c r="L59" s="16">
        <f t="shared" si="13"/>
        <v>37713.594250000002</v>
      </c>
      <c r="M59" s="16">
        <f t="shared" si="0"/>
        <v>89.118158716175074</v>
      </c>
      <c r="N59" s="18">
        <f t="shared" si="13"/>
        <v>0</v>
      </c>
      <c r="O59" s="18">
        <f t="shared" si="13"/>
        <v>0</v>
      </c>
    </row>
    <row r="60" spans="1:15" ht="32.25" thickBot="1">
      <c r="A60" s="12" t="s">
        <v>82</v>
      </c>
      <c r="B60" s="13" t="s">
        <v>58</v>
      </c>
      <c r="C60" s="13"/>
      <c r="D60" s="13" t="s">
        <v>19</v>
      </c>
      <c r="E60" s="13" t="s">
        <v>32</v>
      </c>
      <c r="F60" s="13" t="s">
        <v>83</v>
      </c>
      <c r="G60" s="13" t="s">
        <v>69</v>
      </c>
      <c r="H60" s="17">
        <v>1078.8</v>
      </c>
      <c r="I60" s="17">
        <v>50</v>
      </c>
      <c r="J60" s="17"/>
      <c r="K60" s="15">
        <f t="shared" si="2"/>
        <v>1128.8</v>
      </c>
      <c r="L60" s="16">
        <v>1078.8</v>
      </c>
      <c r="M60" s="16">
        <f t="shared" si="0"/>
        <v>95.570517363571938</v>
      </c>
      <c r="N60" s="17"/>
      <c r="O60" s="17"/>
    </row>
    <row r="61" spans="1:15" ht="79.5" hidden="1" thickBot="1">
      <c r="A61" s="12" t="s">
        <v>84</v>
      </c>
      <c r="B61" s="13" t="s">
        <v>58</v>
      </c>
      <c r="C61" s="13"/>
      <c r="D61" s="13" t="s">
        <v>19</v>
      </c>
      <c r="E61" s="13" t="s">
        <v>32</v>
      </c>
      <c r="F61" s="13" t="s">
        <v>85</v>
      </c>
      <c r="G61" s="13" t="s">
        <v>86</v>
      </c>
      <c r="H61" s="17">
        <v>0</v>
      </c>
      <c r="I61" s="17"/>
      <c r="J61" s="17"/>
      <c r="K61" s="15">
        <f t="shared" si="2"/>
        <v>0</v>
      </c>
      <c r="L61" s="16">
        <v>0</v>
      </c>
      <c r="M61" s="16" t="e">
        <f t="shared" si="0"/>
        <v>#DIV/0!</v>
      </c>
      <c r="N61" s="17"/>
      <c r="O61" s="17"/>
    </row>
    <row r="62" spans="1:15" ht="53.25" customHeight="1" thickBot="1">
      <c r="A62" s="12" t="s">
        <v>87</v>
      </c>
      <c r="B62" s="13">
        <v>902</v>
      </c>
      <c r="C62" s="13"/>
      <c r="D62" s="13" t="s">
        <v>19</v>
      </c>
      <c r="E62" s="13" t="s">
        <v>32</v>
      </c>
      <c r="F62" s="13" t="s">
        <v>88</v>
      </c>
      <c r="G62" s="13"/>
      <c r="H62" s="14">
        <f t="shared" ref="H62:O63" si="14">SUM(H63)</f>
        <v>300</v>
      </c>
      <c r="I62" s="14">
        <f t="shared" si="14"/>
        <v>0</v>
      </c>
      <c r="J62" s="14">
        <f t="shared" si="14"/>
        <v>-79.008499999999998</v>
      </c>
      <c r="K62" s="15">
        <f t="shared" si="2"/>
        <v>220.9915</v>
      </c>
      <c r="L62" s="15">
        <f t="shared" si="14"/>
        <v>220.9915</v>
      </c>
      <c r="M62" s="16">
        <f t="shared" si="0"/>
        <v>100</v>
      </c>
      <c r="N62" s="14">
        <f t="shared" si="14"/>
        <v>0</v>
      </c>
      <c r="O62" s="14">
        <f t="shared" si="14"/>
        <v>0</v>
      </c>
    </row>
    <row r="63" spans="1:15" ht="48" thickBot="1">
      <c r="A63" s="12" t="s">
        <v>89</v>
      </c>
      <c r="B63" s="13">
        <v>902</v>
      </c>
      <c r="C63" s="13"/>
      <c r="D63" s="13" t="s">
        <v>19</v>
      </c>
      <c r="E63" s="13" t="s">
        <v>32</v>
      </c>
      <c r="F63" s="13" t="s">
        <v>90</v>
      </c>
      <c r="G63" s="13"/>
      <c r="H63" s="14">
        <f t="shared" si="14"/>
        <v>300</v>
      </c>
      <c r="I63" s="14">
        <f t="shared" si="14"/>
        <v>0</v>
      </c>
      <c r="J63" s="14">
        <f t="shared" si="14"/>
        <v>-79.008499999999998</v>
      </c>
      <c r="K63" s="15">
        <f t="shared" si="2"/>
        <v>220.9915</v>
      </c>
      <c r="L63" s="15">
        <f t="shared" si="14"/>
        <v>220.9915</v>
      </c>
      <c r="M63" s="16">
        <f t="shared" si="0"/>
        <v>100</v>
      </c>
      <c r="N63" s="14">
        <f t="shared" si="14"/>
        <v>0</v>
      </c>
      <c r="O63" s="14">
        <f t="shared" si="14"/>
        <v>0</v>
      </c>
    </row>
    <row r="64" spans="1:15" ht="32.25" thickBot="1">
      <c r="A64" s="12" t="s">
        <v>46</v>
      </c>
      <c r="B64" s="13">
        <v>902</v>
      </c>
      <c r="C64" s="13"/>
      <c r="D64" s="13" t="s">
        <v>19</v>
      </c>
      <c r="E64" s="13" t="s">
        <v>32</v>
      </c>
      <c r="F64" s="13" t="s">
        <v>90</v>
      </c>
      <c r="G64" s="13">
        <v>500</v>
      </c>
      <c r="H64" s="17">
        <v>300</v>
      </c>
      <c r="I64" s="17"/>
      <c r="J64" s="17">
        <v>-79.008499999999998</v>
      </c>
      <c r="K64" s="15">
        <f t="shared" si="2"/>
        <v>220.9915</v>
      </c>
      <c r="L64" s="16">
        <v>220.9915</v>
      </c>
      <c r="M64" s="16">
        <f t="shared" si="0"/>
        <v>100</v>
      </c>
      <c r="N64" s="17"/>
      <c r="O64" s="17"/>
    </row>
    <row r="65" spans="1:15" ht="39.75" customHeight="1" thickBot="1">
      <c r="A65" s="12" t="s">
        <v>91</v>
      </c>
      <c r="B65" s="13">
        <v>902</v>
      </c>
      <c r="C65" s="13"/>
      <c r="D65" s="13" t="s">
        <v>19</v>
      </c>
      <c r="E65" s="13" t="s">
        <v>32</v>
      </c>
      <c r="F65" s="13" t="s">
        <v>92</v>
      </c>
      <c r="G65" s="13"/>
      <c r="H65" s="14">
        <f>SUM(H66+H69+H70+H72+H74+H76+H71+H73)</f>
        <v>4890.6809999999996</v>
      </c>
      <c r="I65" s="14">
        <f>SUM(I66+I69+I70+I72+I74+I76+I71+I73)</f>
        <v>199.98</v>
      </c>
      <c r="J65" s="14">
        <f>SUM(J66+J69+J70+J72+J74+J76+J71+J73)</f>
        <v>2724.2587199999998</v>
      </c>
      <c r="K65" s="15">
        <f>SUM(K66+K69+K70+K72+K74+K76+K71+K73)</f>
        <v>7814.9197199999981</v>
      </c>
      <c r="L65" s="15">
        <f>SUM(L66+L69+L70+L72+L74+L76+L71+L73)</f>
        <v>5257.9849299999996</v>
      </c>
      <c r="M65" s="16">
        <f t="shared" si="0"/>
        <v>67.281368438676694</v>
      </c>
      <c r="N65" s="14">
        <f>SUM(N66+N69+N70+N72+N74+N76+N71)</f>
        <v>0</v>
      </c>
      <c r="O65" s="14">
        <f>SUM(O66+O69+O70+O72+O74+O76+O71)</f>
        <v>0</v>
      </c>
    </row>
    <row r="66" spans="1:15" ht="21" customHeight="1" thickBot="1">
      <c r="A66" s="12" t="s">
        <v>93</v>
      </c>
      <c r="B66" s="13">
        <v>902</v>
      </c>
      <c r="C66" s="13"/>
      <c r="D66" s="13" t="s">
        <v>19</v>
      </c>
      <c r="E66" s="13" t="s">
        <v>32</v>
      </c>
      <c r="F66" s="13" t="s">
        <v>94</v>
      </c>
      <c r="G66" s="13"/>
      <c r="H66" s="14">
        <f>SUM(H67+H68)</f>
        <v>2401.4499999999998</v>
      </c>
      <c r="I66" s="14">
        <f>SUM(I67+I68)</f>
        <v>0</v>
      </c>
      <c r="J66" s="14">
        <f>SUM(J67+J68)</f>
        <v>2724.2587199999998</v>
      </c>
      <c r="K66" s="15">
        <f t="shared" si="2"/>
        <v>5125.7087199999996</v>
      </c>
      <c r="L66" s="15">
        <f>SUM(L67+L68)</f>
        <v>2568.7739299999998</v>
      </c>
      <c r="M66" s="16">
        <f t="shared" si="0"/>
        <v>50.115487834431605</v>
      </c>
      <c r="N66" s="14">
        <f>SUM(N67+N68)</f>
        <v>0</v>
      </c>
      <c r="O66" s="14">
        <f>SUM(O67+O68)</f>
        <v>0</v>
      </c>
    </row>
    <row r="67" spans="1:15" ht="32.25" thickBot="1">
      <c r="A67" s="12" t="s">
        <v>46</v>
      </c>
      <c r="B67" s="13">
        <v>902</v>
      </c>
      <c r="C67" s="13"/>
      <c r="D67" s="13" t="s">
        <v>19</v>
      </c>
      <c r="E67" s="13" t="s">
        <v>32</v>
      </c>
      <c r="F67" s="13" t="s">
        <v>94</v>
      </c>
      <c r="G67" s="13">
        <v>500</v>
      </c>
      <c r="H67" s="17">
        <v>2401.4499999999998</v>
      </c>
      <c r="I67" s="17"/>
      <c r="J67" s="17">
        <f>69.82393+97.5+2556.93479</f>
        <v>2724.2587199999998</v>
      </c>
      <c r="K67" s="15">
        <f t="shared" si="2"/>
        <v>5125.7087199999996</v>
      </c>
      <c r="L67" s="16">
        <v>2568.7739299999998</v>
      </c>
      <c r="M67" s="16">
        <f t="shared" si="0"/>
        <v>50.115487834431605</v>
      </c>
      <c r="N67" s="17"/>
      <c r="O67" s="17"/>
    </row>
    <row r="68" spans="1:15" ht="48" thickBot="1">
      <c r="A68" s="12" t="s">
        <v>95</v>
      </c>
      <c r="B68" s="13" t="s">
        <v>58</v>
      </c>
      <c r="C68" s="13"/>
      <c r="D68" s="13" t="s">
        <v>19</v>
      </c>
      <c r="E68" s="13" t="s">
        <v>32</v>
      </c>
      <c r="F68" s="13" t="s">
        <v>94</v>
      </c>
      <c r="G68" s="13" t="s">
        <v>96</v>
      </c>
      <c r="H68" s="17">
        <v>0</v>
      </c>
      <c r="I68" s="17"/>
      <c r="J68" s="17"/>
      <c r="K68" s="15">
        <f t="shared" si="2"/>
        <v>0</v>
      </c>
      <c r="L68" s="16">
        <v>0</v>
      </c>
      <c r="M68" s="16">
        <v>0</v>
      </c>
      <c r="N68" s="17"/>
      <c r="O68" s="17"/>
    </row>
    <row r="69" spans="1:15" ht="79.5" thickBot="1">
      <c r="A69" s="12" t="s">
        <v>97</v>
      </c>
      <c r="B69" s="13" t="s">
        <v>58</v>
      </c>
      <c r="C69" s="13"/>
      <c r="D69" s="13" t="s">
        <v>19</v>
      </c>
      <c r="E69" s="13" t="s">
        <v>32</v>
      </c>
      <c r="F69" s="13" t="s">
        <v>98</v>
      </c>
      <c r="G69" s="13" t="s">
        <v>69</v>
      </c>
      <c r="H69" s="17">
        <v>0</v>
      </c>
      <c r="I69" s="17"/>
      <c r="J69" s="17"/>
      <c r="K69" s="15">
        <f t="shared" si="2"/>
        <v>0</v>
      </c>
      <c r="L69" s="16">
        <v>0</v>
      </c>
      <c r="M69" s="16">
        <v>0</v>
      </c>
      <c r="N69" s="17"/>
      <c r="O69" s="17"/>
    </row>
    <row r="70" spans="1:15" ht="73.5" customHeight="1" thickBot="1">
      <c r="A70" s="12" t="s">
        <v>99</v>
      </c>
      <c r="B70" s="13" t="s">
        <v>58</v>
      </c>
      <c r="C70" s="13" t="s">
        <v>100</v>
      </c>
      <c r="D70" s="13" t="s">
        <v>19</v>
      </c>
      <c r="E70" s="13" t="s">
        <v>32</v>
      </c>
      <c r="F70" s="13" t="s">
        <v>98</v>
      </c>
      <c r="G70" s="13" t="s">
        <v>101</v>
      </c>
      <c r="H70" s="17">
        <f>99.95+199.954+197</f>
        <v>496.904</v>
      </c>
      <c r="I70" s="17"/>
      <c r="J70" s="17"/>
      <c r="K70" s="15">
        <f t="shared" si="2"/>
        <v>496.904</v>
      </c>
      <c r="L70" s="16">
        <v>496.904</v>
      </c>
      <c r="M70" s="16">
        <f t="shared" si="0"/>
        <v>100</v>
      </c>
      <c r="N70" s="17"/>
      <c r="O70" s="17"/>
    </row>
    <row r="71" spans="1:15" ht="66" customHeight="1" thickBot="1">
      <c r="A71" s="12" t="s">
        <v>99</v>
      </c>
      <c r="B71" s="13" t="s">
        <v>58</v>
      </c>
      <c r="C71" s="13" t="s">
        <v>102</v>
      </c>
      <c r="D71" s="13" t="s">
        <v>19</v>
      </c>
      <c r="E71" s="13" t="s">
        <v>32</v>
      </c>
      <c r="F71" s="13" t="s">
        <v>98</v>
      </c>
      <c r="G71" s="13" t="s">
        <v>101</v>
      </c>
      <c r="H71" s="17">
        <v>464.47699999999998</v>
      </c>
      <c r="I71" s="17"/>
      <c r="J71" s="17"/>
      <c r="K71" s="15">
        <f>SUM(H71:J71)</f>
        <v>464.47699999999998</v>
      </c>
      <c r="L71" s="16">
        <v>464.47699999999998</v>
      </c>
      <c r="M71" s="16">
        <f t="shared" si="0"/>
        <v>100</v>
      </c>
      <c r="N71" s="17"/>
      <c r="O71" s="17"/>
    </row>
    <row r="72" spans="1:15" ht="69.75" customHeight="1" thickBot="1">
      <c r="A72" s="12" t="s">
        <v>99</v>
      </c>
      <c r="B72" s="13" t="s">
        <v>58</v>
      </c>
      <c r="C72" s="13" t="s">
        <v>103</v>
      </c>
      <c r="D72" s="13" t="s">
        <v>19</v>
      </c>
      <c r="E72" s="13" t="s">
        <v>32</v>
      </c>
      <c r="F72" s="13" t="s">
        <v>98</v>
      </c>
      <c r="G72" s="13" t="s">
        <v>101</v>
      </c>
      <c r="H72" s="17">
        <v>400</v>
      </c>
      <c r="I72" s="17">
        <v>99.99</v>
      </c>
      <c r="J72" s="17"/>
      <c r="K72" s="15">
        <f>SUM(H72:J72)</f>
        <v>499.99</v>
      </c>
      <c r="L72" s="16">
        <v>499.99</v>
      </c>
      <c r="M72" s="16">
        <f t="shared" si="0"/>
        <v>100</v>
      </c>
      <c r="N72" s="17"/>
      <c r="O72" s="17"/>
    </row>
    <row r="73" spans="1:15" ht="63" customHeight="1" thickBot="1">
      <c r="A73" s="12" t="s">
        <v>99</v>
      </c>
      <c r="B73" s="13" t="s">
        <v>58</v>
      </c>
      <c r="C73" s="13" t="s">
        <v>104</v>
      </c>
      <c r="D73" s="13" t="s">
        <v>19</v>
      </c>
      <c r="E73" s="13" t="s">
        <v>32</v>
      </c>
      <c r="F73" s="13" t="s">
        <v>98</v>
      </c>
      <c r="G73" s="13" t="s">
        <v>105</v>
      </c>
      <c r="H73" s="17">
        <v>0</v>
      </c>
      <c r="I73" s="17">
        <v>99.99</v>
      </c>
      <c r="J73" s="17"/>
      <c r="K73" s="15">
        <f>SUM(H73:J73)</f>
        <v>99.99</v>
      </c>
      <c r="L73" s="16">
        <v>99.99</v>
      </c>
      <c r="M73" s="16">
        <f t="shared" si="0"/>
        <v>100</v>
      </c>
      <c r="N73" s="17"/>
      <c r="O73" s="17"/>
    </row>
    <row r="74" spans="1:15" ht="48" thickBot="1">
      <c r="A74" s="12" t="s">
        <v>27</v>
      </c>
      <c r="B74" s="13" t="s">
        <v>58</v>
      </c>
      <c r="C74" s="13" t="s">
        <v>28</v>
      </c>
      <c r="D74" s="13" t="s">
        <v>19</v>
      </c>
      <c r="E74" s="13" t="s">
        <v>32</v>
      </c>
      <c r="F74" s="13" t="s">
        <v>106</v>
      </c>
      <c r="G74" s="13" t="s">
        <v>30</v>
      </c>
      <c r="H74" s="17">
        <v>151.15</v>
      </c>
      <c r="I74" s="17"/>
      <c r="J74" s="17"/>
      <c r="K74" s="15">
        <f t="shared" si="2"/>
        <v>151.15</v>
      </c>
      <c r="L74" s="16">
        <v>151.15</v>
      </c>
      <c r="M74" s="16">
        <f t="shared" si="0"/>
        <v>100</v>
      </c>
      <c r="N74" s="17"/>
      <c r="O74" s="17"/>
    </row>
    <row r="75" spans="1:15" ht="126.75" thickBot="1">
      <c r="A75" s="12" t="s">
        <v>107</v>
      </c>
      <c r="B75" s="13" t="s">
        <v>58</v>
      </c>
      <c r="C75" s="13"/>
      <c r="D75" s="13" t="s">
        <v>19</v>
      </c>
      <c r="E75" s="13" t="s">
        <v>32</v>
      </c>
      <c r="F75" s="13"/>
      <c r="G75" s="13"/>
      <c r="H75" s="18">
        <f t="shared" ref="H75:O75" si="15">SUM(H77+H79)</f>
        <v>3931.75</v>
      </c>
      <c r="I75" s="18">
        <f t="shared" si="15"/>
        <v>0</v>
      </c>
      <c r="J75" s="18">
        <f t="shared" si="15"/>
        <v>0</v>
      </c>
      <c r="K75" s="16">
        <f t="shared" si="15"/>
        <v>3931.75</v>
      </c>
      <c r="L75" s="16">
        <f t="shared" si="15"/>
        <v>3931.75</v>
      </c>
      <c r="M75" s="16">
        <f t="shared" si="0"/>
        <v>100</v>
      </c>
      <c r="N75" s="18">
        <f t="shared" si="15"/>
        <v>0</v>
      </c>
      <c r="O75" s="18">
        <f t="shared" si="15"/>
        <v>0</v>
      </c>
    </row>
    <row r="76" spans="1:15" ht="32.25" thickBot="1">
      <c r="A76" s="12" t="s">
        <v>108</v>
      </c>
      <c r="B76" s="13" t="s">
        <v>58</v>
      </c>
      <c r="C76" s="13"/>
      <c r="D76" s="13" t="s">
        <v>19</v>
      </c>
      <c r="E76" s="13" t="s">
        <v>32</v>
      </c>
      <c r="F76" s="13" t="s">
        <v>109</v>
      </c>
      <c r="G76" s="13"/>
      <c r="H76" s="18">
        <f t="shared" ref="H76:O76" si="16">SUM(H77)</f>
        <v>976.7</v>
      </c>
      <c r="I76" s="18">
        <f t="shared" si="16"/>
        <v>0</v>
      </c>
      <c r="J76" s="18">
        <f t="shared" si="16"/>
        <v>0</v>
      </c>
      <c r="K76" s="16">
        <f t="shared" si="16"/>
        <v>976.7</v>
      </c>
      <c r="L76" s="16">
        <f t="shared" si="16"/>
        <v>976.7</v>
      </c>
      <c r="M76" s="16">
        <f t="shared" ref="M76:M139" si="17">SUM(L76/K76)*100</f>
        <v>100</v>
      </c>
      <c r="N76" s="18">
        <f t="shared" si="16"/>
        <v>0</v>
      </c>
      <c r="O76" s="18">
        <f t="shared" si="16"/>
        <v>0</v>
      </c>
    </row>
    <row r="77" spans="1:15" ht="54" customHeight="1" thickBot="1">
      <c r="A77" s="12" t="s">
        <v>110</v>
      </c>
      <c r="B77" s="13" t="s">
        <v>58</v>
      </c>
      <c r="C77" s="13"/>
      <c r="D77" s="13" t="s">
        <v>19</v>
      </c>
      <c r="E77" s="13" t="s">
        <v>32</v>
      </c>
      <c r="F77" s="13" t="s">
        <v>109</v>
      </c>
      <c r="G77" s="13" t="s">
        <v>111</v>
      </c>
      <c r="H77" s="17">
        <f>692.7+284</f>
        <v>976.7</v>
      </c>
      <c r="I77" s="17"/>
      <c r="J77" s="17"/>
      <c r="K77" s="15">
        <f>SUM(H77:J77)</f>
        <v>976.7</v>
      </c>
      <c r="L77" s="16">
        <v>976.7</v>
      </c>
      <c r="M77" s="16">
        <f t="shared" si="17"/>
        <v>100</v>
      </c>
      <c r="N77" s="17"/>
      <c r="O77" s="17"/>
    </row>
    <row r="78" spans="1:15" ht="32.25" thickBot="1">
      <c r="A78" s="12" t="s">
        <v>57</v>
      </c>
      <c r="B78" s="13" t="s">
        <v>58</v>
      </c>
      <c r="C78" s="13"/>
      <c r="D78" s="13" t="s">
        <v>19</v>
      </c>
      <c r="E78" s="13" t="s">
        <v>32</v>
      </c>
      <c r="F78" s="13" t="s">
        <v>59</v>
      </c>
      <c r="G78" s="13"/>
      <c r="H78" s="18">
        <f t="shared" ref="H78:O78" si="18">SUM(H79:H80)</f>
        <v>2965.05</v>
      </c>
      <c r="I78" s="18">
        <f t="shared" si="18"/>
        <v>0</v>
      </c>
      <c r="J78" s="18">
        <f t="shared" si="18"/>
        <v>0</v>
      </c>
      <c r="K78" s="16">
        <f t="shared" si="18"/>
        <v>2965.05</v>
      </c>
      <c r="L78" s="16">
        <f t="shared" si="18"/>
        <v>2965.05</v>
      </c>
      <c r="M78" s="16">
        <f t="shared" si="17"/>
        <v>100</v>
      </c>
      <c r="N78" s="18">
        <f t="shared" si="18"/>
        <v>0</v>
      </c>
      <c r="O78" s="18">
        <f t="shared" si="18"/>
        <v>0</v>
      </c>
    </row>
    <row r="79" spans="1:15" ht="79.5" thickBot="1">
      <c r="A79" s="12" t="s">
        <v>112</v>
      </c>
      <c r="B79" s="13" t="s">
        <v>58</v>
      </c>
      <c r="C79" s="13" t="s">
        <v>113</v>
      </c>
      <c r="D79" s="13" t="s">
        <v>19</v>
      </c>
      <c r="E79" s="13" t="s">
        <v>32</v>
      </c>
      <c r="F79" s="13" t="s">
        <v>59</v>
      </c>
      <c r="G79" s="13" t="s">
        <v>114</v>
      </c>
      <c r="H79" s="17">
        <f>1400+1555.05</f>
        <v>2955.05</v>
      </c>
      <c r="I79" s="17"/>
      <c r="J79" s="17"/>
      <c r="K79" s="15">
        <f>SUM(H79:J79)</f>
        <v>2955.05</v>
      </c>
      <c r="L79" s="16">
        <v>2955.05</v>
      </c>
      <c r="M79" s="16">
        <f t="shared" si="17"/>
        <v>100</v>
      </c>
      <c r="N79" s="17"/>
      <c r="O79" s="17"/>
    </row>
    <row r="80" spans="1:15" ht="46.5" customHeight="1" thickBot="1">
      <c r="A80" s="12" t="s">
        <v>115</v>
      </c>
      <c r="B80" s="13" t="s">
        <v>58</v>
      </c>
      <c r="C80" s="13" t="s">
        <v>116</v>
      </c>
      <c r="D80" s="13" t="s">
        <v>19</v>
      </c>
      <c r="E80" s="13" t="s">
        <v>32</v>
      </c>
      <c r="F80" s="13" t="s">
        <v>59</v>
      </c>
      <c r="G80" s="13" t="s">
        <v>30</v>
      </c>
      <c r="H80" s="17">
        <v>10</v>
      </c>
      <c r="I80" s="17"/>
      <c r="J80" s="17"/>
      <c r="K80" s="15">
        <f>SUM(H80:J80)</f>
        <v>10</v>
      </c>
      <c r="L80" s="16">
        <v>10</v>
      </c>
      <c r="M80" s="16">
        <f t="shared" si="17"/>
        <v>100</v>
      </c>
      <c r="N80" s="17"/>
      <c r="O80" s="17"/>
    </row>
    <row r="81" spans="1:15" ht="32.25" thickBot="1">
      <c r="A81" s="12" t="s">
        <v>117</v>
      </c>
      <c r="B81" s="13">
        <v>902</v>
      </c>
      <c r="C81" s="13"/>
      <c r="D81" s="13" t="s">
        <v>19</v>
      </c>
      <c r="E81" s="13" t="s">
        <v>32</v>
      </c>
      <c r="F81" s="13" t="s">
        <v>118</v>
      </c>
      <c r="G81" s="13"/>
      <c r="H81" s="14">
        <f>SUM(H82)</f>
        <v>1296.0687</v>
      </c>
      <c r="I81" s="14">
        <f>SUM(I82)</f>
        <v>0</v>
      </c>
      <c r="J81" s="14">
        <f>SUM(J82)</f>
        <v>0</v>
      </c>
      <c r="K81" s="15">
        <f t="shared" si="2"/>
        <v>1296.0687</v>
      </c>
      <c r="L81" s="15">
        <f>SUM(L82)</f>
        <v>1296.0687</v>
      </c>
      <c r="M81" s="16">
        <f t="shared" si="17"/>
        <v>100</v>
      </c>
      <c r="N81" s="14">
        <f>SUM(N82)</f>
        <v>0</v>
      </c>
      <c r="O81" s="14">
        <f>SUM(O82)</f>
        <v>0</v>
      </c>
    </row>
    <row r="82" spans="1:15" ht="32.25" thickBot="1">
      <c r="A82" s="12" t="s">
        <v>46</v>
      </c>
      <c r="B82" s="13">
        <v>902</v>
      </c>
      <c r="C82" s="13" t="s">
        <v>119</v>
      </c>
      <c r="D82" s="13" t="s">
        <v>19</v>
      </c>
      <c r="E82" s="13" t="s">
        <v>32</v>
      </c>
      <c r="F82" s="13" t="s">
        <v>118</v>
      </c>
      <c r="G82" s="13">
        <v>500</v>
      </c>
      <c r="H82" s="17">
        <f>1063.5+225.8+6.7687</f>
        <v>1296.0687</v>
      </c>
      <c r="I82" s="17"/>
      <c r="J82" s="17"/>
      <c r="K82" s="15">
        <f t="shared" si="2"/>
        <v>1296.0687</v>
      </c>
      <c r="L82" s="16">
        <v>1296.0687</v>
      </c>
      <c r="M82" s="16">
        <f t="shared" si="17"/>
        <v>100</v>
      </c>
      <c r="N82" s="17"/>
      <c r="O82" s="17"/>
    </row>
    <row r="83" spans="1:15" ht="50.25" customHeight="1" thickBot="1">
      <c r="A83" s="12" t="s">
        <v>120</v>
      </c>
      <c r="B83" s="13" t="s">
        <v>58</v>
      </c>
      <c r="C83" s="13"/>
      <c r="D83" s="13" t="s">
        <v>19</v>
      </c>
      <c r="E83" s="13" t="s">
        <v>32</v>
      </c>
      <c r="F83" s="13" t="s">
        <v>121</v>
      </c>
      <c r="G83" s="13" t="s">
        <v>30</v>
      </c>
      <c r="H83" s="17">
        <v>600</v>
      </c>
      <c r="I83" s="17">
        <v>-500</v>
      </c>
      <c r="J83" s="17"/>
      <c r="K83" s="15">
        <f t="shared" si="2"/>
        <v>100</v>
      </c>
      <c r="L83" s="16">
        <v>100</v>
      </c>
      <c r="M83" s="16">
        <f t="shared" si="17"/>
        <v>100</v>
      </c>
      <c r="N83" s="17"/>
      <c r="O83" s="17"/>
    </row>
    <row r="84" spans="1:15" ht="30.75" customHeight="1" thickBot="1">
      <c r="A84" s="12" t="s">
        <v>122</v>
      </c>
      <c r="B84" s="13">
        <v>902</v>
      </c>
      <c r="C84" s="13"/>
      <c r="D84" s="13" t="s">
        <v>19</v>
      </c>
      <c r="E84" s="13" t="s">
        <v>32</v>
      </c>
      <c r="F84" s="13"/>
      <c r="G84" s="13"/>
      <c r="H84" s="14">
        <f t="shared" ref="H84:O84" si="19">SUM(H85+H89)</f>
        <v>27560.608</v>
      </c>
      <c r="I84" s="14">
        <f t="shared" si="19"/>
        <v>0</v>
      </c>
      <c r="J84" s="14">
        <f t="shared" si="19"/>
        <v>1232.2037500000001</v>
      </c>
      <c r="K84" s="15">
        <f t="shared" si="19"/>
        <v>28792.811750000001</v>
      </c>
      <c r="L84" s="15">
        <f t="shared" si="19"/>
        <v>26794.699120000001</v>
      </c>
      <c r="M84" s="16">
        <f t="shared" si="17"/>
        <v>93.060376849093245</v>
      </c>
      <c r="N84" s="14">
        <f t="shared" si="19"/>
        <v>0</v>
      </c>
      <c r="O84" s="14">
        <f t="shared" si="19"/>
        <v>0</v>
      </c>
    </row>
    <row r="85" spans="1:15" ht="34.5" customHeight="1" thickBot="1">
      <c r="A85" s="12" t="s">
        <v>123</v>
      </c>
      <c r="B85" s="13">
        <v>902</v>
      </c>
      <c r="C85" s="13"/>
      <c r="D85" s="13" t="s">
        <v>19</v>
      </c>
      <c r="E85" s="13" t="s">
        <v>32</v>
      </c>
      <c r="F85" s="13" t="s">
        <v>124</v>
      </c>
      <c r="G85" s="13"/>
      <c r="H85" s="14">
        <f>SUM(H87+H88)</f>
        <v>25560.608</v>
      </c>
      <c r="I85" s="14">
        <f>SUM(I87+I88)</f>
        <v>0</v>
      </c>
      <c r="J85" s="14">
        <f>SUM(J87+J88)</f>
        <v>1602.7040500000001</v>
      </c>
      <c r="K85" s="15">
        <f t="shared" si="2"/>
        <v>27163.31205</v>
      </c>
      <c r="L85" s="15">
        <f>SUM(L87+L88)</f>
        <v>26365.199420000001</v>
      </c>
      <c r="M85" s="16">
        <f t="shared" si="17"/>
        <v>97.061799280842848</v>
      </c>
      <c r="N85" s="14">
        <f>SUM(N87+N88)</f>
        <v>0</v>
      </c>
      <c r="O85" s="14">
        <f>SUM(O87+O88)</f>
        <v>0</v>
      </c>
    </row>
    <row r="86" spans="1:15" ht="95.25" thickBot="1">
      <c r="A86" s="12" t="s">
        <v>125</v>
      </c>
      <c r="B86" s="13">
        <v>902</v>
      </c>
      <c r="C86" s="13"/>
      <c r="D86" s="13" t="s">
        <v>19</v>
      </c>
      <c r="E86" s="13" t="s">
        <v>32</v>
      </c>
      <c r="F86" s="13" t="s">
        <v>124</v>
      </c>
      <c r="G86" s="13" t="s">
        <v>126</v>
      </c>
      <c r="H86" s="18">
        <f>SUM(H87)</f>
        <v>25560.608</v>
      </c>
      <c r="I86" s="18">
        <f>SUM(I87)</f>
        <v>0</v>
      </c>
      <c r="J86" s="18">
        <f>SUM(J87)</f>
        <v>1602.7040500000001</v>
      </c>
      <c r="K86" s="15">
        <f t="shared" si="2"/>
        <v>27163.31205</v>
      </c>
      <c r="L86" s="16">
        <f>SUM(L87)</f>
        <v>26365.199420000001</v>
      </c>
      <c r="M86" s="16">
        <f t="shared" si="17"/>
        <v>97.061799280842848</v>
      </c>
      <c r="N86" s="18">
        <f>SUM(N87)</f>
        <v>0</v>
      </c>
      <c r="O86" s="18">
        <f>SUM(O87)</f>
        <v>0</v>
      </c>
    </row>
    <row r="87" spans="1:15" ht="63.75" thickBot="1">
      <c r="A87" s="12" t="s">
        <v>127</v>
      </c>
      <c r="B87" s="13">
        <v>902</v>
      </c>
      <c r="C87" s="13"/>
      <c r="D87" s="13" t="s">
        <v>19</v>
      </c>
      <c r="E87" s="13" t="s">
        <v>32</v>
      </c>
      <c r="F87" s="13" t="s">
        <v>124</v>
      </c>
      <c r="G87" s="13" t="s">
        <v>126</v>
      </c>
      <c r="H87" s="17">
        <f>24415.938+1144.67</f>
        <v>25560.608</v>
      </c>
      <c r="I87" s="17"/>
      <c r="J87" s="17">
        <f>370.5003+85.18092+99.97+248.9402+75.17994+198.85976+11.91742+512.15551</f>
        <v>1602.7040500000001</v>
      </c>
      <c r="K87" s="15">
        <f t="shared" si="2"/>
        <v>27163.31205</v>
      </c>
      <c r="L87" s="16">
        <v>26365.199420000001</v>
      </c>
      <c r="M87" s="16">
        <f t="shared" si="17"/>
        <v>97.061799280842848</v>
      </c>
      <c r="N87" s="17"/>
      <c r="O87" s="17"/>
    </row>
    <row r="88" spans="1:15" ht="24.75" customHeight="1" thickBot="1">
      <c r="A88" s="12" t="s">
        <v>128</v>
      </c>
      <c r="B88" s="13">
        <v>902</v>
      </c>
      <c r="C88" s="13"/>
      <c r="D88" s="13" t="s">
        <v>19</v>
      </c>
      <c r="E88" s="13" t="s">
        <v>32</v>
      </c>
      <c r="F88" s="13" t="s">
        <v>124</v>
      </c>
      <c r="G88" s="13" t="s">
        <v>101</v>
      </c>
      <c r="H88" s="17">
        <v>0</v>
      </c>
      <c r="I88" s="17"/>
      <c r="J88" s="17"/>
      <c r="K88" s="15">
        <f t="shared" si="2"/>
        <v>0</v>
      </c>
      <c r="L88" s="16">
        <v>0</v>
      </c>
      <c r="M88" s="16">
        <v>0</v>
      </c>
      <c r="N88" s="17"/>
      <c r="O88" s="17"/>
    </row>
    <row r="89" spans="1:15" ht="24" customHeight="1" thickBot="1">
      <c r="A89" s="12" t="s">
        <v>57</v>
      </c>
      <c r="B89" s="13" t="s">
        <v>58</v>
      </c>
      <c r="C89" s="13"/>
      <c r="D89" s="13" t="s">
        <v>19</v>
      </c>
      <c r="E89" s="13" t="s">
        <v>32</v>
      </c>
      <c r="F89" s="13" t="s">
        <v>59</v>
      </c>
      <c r="G89" s="13"/>
      <c r="H89" s="18">
        <f t="shared" ref="H89:O89" si="20">SUM(H90)</f>
        <v>2000</v>
      </c>
      <c r="I89" s="18">
        <f t="shared" si="20"/>
        <v>0</v>
      </c>
      <c r="J89" s="18">
        <f t="shared" si="20"/>
        <v>-370.50029999999998</v>
      </c>
      <c r="K89" s="16">
        <f t="shared" si="20"/>
        <v>1629.4997000000001</v>
      </c>
      <c r="L89" s="16">
        <f t="shared" si="20"/>
        <v>429.49970000000002</v>
      </c>
      <c r="M89" s="16">
        <f t="shared" si="17"/>
        <v>26.357764901705721</v>
      </c>
      <c r="N89" s="18">
        <f t="shared" si="20"/>
        <v>0</v>
      </c>
      <c r="O89" s="18">
        <f t="shared" si="20"/>
        <v>0</v>
      </c>
    </row>
    <row r="90" spans="1:15" ht="48" thickBot="1">
      <c r="A90" s="12" t="s">
        <v>129</v>
      </c>
      <c r="B90" s="13" t="s">
        <v>58</v>
      </c>
      <c r="C90" s="13" t="s">
        <v>113</v>
      </c>
      <c r="D90" s="13" t="s">
        <v>19</v>
      </c>
      <c r="E90" s="13" t="s">
        <v>32</v>
      </c>
      <c r="F90" s="13" t="s">
        <v>59</v>
      </c>
      <c r="G90" s="13" t="s">
        <v>101</v>
      </c>
      <c r="H90" s="17">
        <f>800+1200</f>
        <v>2000</v>
      </c>
      <c r="I90" s="17"/>
      <c r="J90" s="17">
        <f>-370.5003</f>
        <v>-370.50029999999998</v>
      </c>
      <c r="K90" s="15">
        <f t="shared" si="2"/>
        <v>1629.4997000000001</v>
      </c>
      <c r="L90" s="16">
        <v>429.49970000000002</v>
      </c>
      <c r="M90" s="16">
        <f t="shared" si="17"/>
        <v>26.357764901705721</v>
      </c>
      <c r="N90" s="17"/>
      <c r="O90" s="17"/>
    </row>
    <row r="91" spans="1:15" ht="16.5" thickBot="1">
      <c r="A91" s="21" t="s">
        <v>130</v>
      </c>
      <c r="B91" s="22" t="s">
        <v>58</v>
      </c>
      <c r="C91" s="22"/>
      <c r="D91" s="22" t="s">
        <v>19</v>
      </c>
      <c r="E91" s="22" t="s">
        <v>32</v>
      </c>
      <c r="F91" s="22" t="s">
        <v>131</v>
      </c>
      <c r="G91" s="22" t="s">
        <v>132</v>
      </c>
      <c r="H91" s="17">
        <v>0</v>
      </c>
      <c r="I91" s="17"/>
      <c r="J91" s="17"/>
      <c r="K91" s="15">
        <f t="shared" si="2"/>
        <v>0</v>
      </c>
      <c r="L91" s="16">
        <v>0</v>
      </c>
      <c r="M91" s="16">
        <v>0</v>
      </c>
      <c r="N91" s="17"/>
      <c r="O91" s="17"/>
    </row>
    <row r="92" spans="1:15" ht="16.5" thickBot="1">
      <c r="A92" s="12" t="s">
        <v>133</v>
      </c>
      <c r="B92" s="13">
        <v>902</v>
      </c>
      <c r="C92" s="13"/>
      <c r="D92" s="13" t="s">
        <v>42</v>
      </c>
      <c r="E92" s="13" t="s">
        <v>134</v>
      </c>
      <c r="F92" s="13"/>
      <c r="G92" s="13"/>
      <c r="H92" s="20">
        <f>SUM(H93)</f>
        <v>10</v>
      </c>
      <c r="I92" s="20">
        <f>SUM(I93)</f>
        <v>0</v>
      </c>
      <c r="J92" s="20">
        <f>SUM(J93)</f>
        <v>-10</v>
      </c>
      <c r="K92" s="15">
        <f t="shared" si="2"/>
        <v>0</v>
      </c>
      <c r="L92" s="15">
        <f>SUM(L93)</f>
        <v>0</v>
      </c>
      <c r="M92" s="16">
        <v>0</v>
      </c>
      <c r="N92" s="20">
        <f>SUM(N93)</f>
        <v>0</v>
      </c>
      <c r="O92" s="20">
        <f>SUM(O93)</f>
        <v>0</v>
      </c>
    </row>
    <row r="93" spans="1:15" ht="16.5" thickBot="1">
      <c r="A93" s="12" t="s">
        <v>135</v>
      </c>
      <c r="B93" s="13">
        <v>902</v>
      </c>
      <c r="C93" s="13"/>
      <c r="D93" s="13" t="s">
        <v>42</v>
      </c>
      <c r="E93" s="13" t="s">
        <v>48</v>
      </c>
      <c r="F93" s="13"/>
      <c r="G93" s="13"/>
      <c r="H93" s="14">
        <f t="shared" ref="H93:O97" si="21">SUM(H94)</f>
        <v>10</v>
      </c>
      <c r="I93" s="14">
        <f t="shared" si="21"/>
        <v>0</v>
      </c>
      <c r="J93" s="14">
        <f t="shared" si="21"/>
        <v>-10</v>
      </c>
      <c r="K93" s="15">
        <f t="shared" ref="K93:K162" si="22">SUM(H93:J93)</f>
        <v>0</v>
      </c>
      <c r="L93" s="15">
        <f t="shared" si="21"/>
        <v>0</v>
      </c>
      <c r="M93" s="16">
        <v>0</v>
      </c>
      <c r="N93" s="14">
        <f t="shared" si="21"/>
        <v>0</v>
      </c>
      <c r="O93" s="14">
        <f t="shared" si="21"/>
        <v>0</v>
      </c>
    </row>
    <row r="94" spans="1:15" ht="32.25" thickBot="1">
      <c r="A94" s="12" t="s">
        <v>136</v>
      </c>
      <c r="B94" s="13">
        <v>902</v>
      </c>
      <c r="C94" s="13"/>
      <c r="D94" s="13" t="s">
        <v>42</v>
      </c>
      <c r="E94" s="13" t="s">
        <v>48</v>
      </c>
      <c r="F94" s="13">
        <v>2090000</v>
      </c>
      <c r="G94" s="13"/>
      <c r="H94" s="14">
        <f t="shared" si="21"/>
        <v>10</v>
      </c>
      <c r="I94" s="14">
        <f t="shared" si="21"/>
        <v>0</v>
      </c>
      <c r="J94" s="14">
        <f t="shared" si="21"/>
        <v>-10</v>
      </c>
      <c r="K94" s="15">
        <f t="shared" si="22"/>
        <v>0</v>
      </c>
      <c r="L94" s="15">
        <f t="shared" si="21"/>
        <v>0</v>
      </c>
      <c r="M94" s="16">
        <v>0</v>
      </c>
      <c r="N94" s="14">
        <f t="shared" si="21"/>
        <v>0</v>
      </c>
      <c r="O94" s="14">
        <f t="shared" si="21"/>
        <v>0</v>
      </c>
    </row>
    <row r="95" spans="1:15" ht="32.25" thickBot="1">
      <c r="A95" s="12" t="s">
        <v>137</v>
      </c>
      <c r="B95" s="13">
        <v>902</v>
      </c>
      <c r="C95" s="13"/>
      <c r="D95" s="13" t="s">
        <v>42</v>
      </c>
      <c r="E95" s="13" t="s">
        <v>48</v>
      </c>
      <c r="F95" s="13">
        <v>2090100</v>
      </c>
      <c r="G95" s="13"/>
      <c r="H95" s="14">
        <f t="shared" si="21"/>
        <v>10</v>
      </c>
      <c r="I95" s="14">
        <f t="shared" si="21"/>
        <v>0</v>
      </c>
      <c r="J95" s="14">
        <f t="shared" si="21"/>
        <v>-10</v>
      </c>
      <c r="K95" s="15">
        <f t="shared" si="22"/>
        <v>0</v>
      </c>
      <c r="L95" s="15">
        <f t="shared" si="21"/>
        <v>0</v>
      </c>
      <c r="M95" s="16">
        <v>0</v>
      </c>
      <c r="N95" s="14">
        <f t="shared" si="21"/>
        <v>0</v>
      </c>
      <c r="O95" s="14">
        <f t="shared" si="21"/>
        <v>0</v>
      </c>
    </row>
    <row r="96" spans="1:15" ht="32.25" thickBot="1">
      <c r="A96" s="12" t="s">
        <v>46</v>
      </c>
      <c r="B96" s="13">
        <v>902</v>
      </c>
      <c r="C96" s="13"/>
      <c r="D96" s="13" t="s">
        <v>42</v>
      </c>
      <c r="E96" s="13" t="s">
        <v>48</v>
      </c>
      <c r="F96" s="13">
        <v>2090100</v>
      </c>
      <c r="G96" s="13">
        <v>500</v>
      </c>
      <c r="H96" s="17">
        <v>10</v>
      </c>
      <c r="I96" s="17"/>
      <c r="J96" s="17">
        <v>-10</v>
      </c>
      <c r="K96" s="15">
        <f t="shared" si="22"/>
        <v>0</v>
      </c>
      <c r="L96" s="16">
        <v>0</v>
      </c>
      <c r="M96" s="16">
        <v>0</v>
      </c>
      <c r="N96" s="17"/>
      <c r="O96" s="17"/>
    </row>
    <row r="97" spans="1:15" ht="35.25" customHeight="1" thickBot="1">
      <c r="A97" s="12" t="s">
        <v>138</v>
      </c>
      <c r="B97" s="13">
        <v>902</v>
      </c>
      <c r="C97" s="13"/>
      <c r="D97" s="13" t="s">
        <v>21</v>
      </c>
      <c r="E97" s="13" t="s">
        <v>134</v>
      </c>
      <c r="F97" s="13"/>
      <c r="G97" s="13"/>
      <c r="H97" s="20">
        <f t="shared" si="21"/>
        <v>220</v>
      </c>
      <c r="I97" s="20">
        <f t="shared" si="21"/>
        <v>0</v>
      </c>
      <c r="J97" s="20">
        <f t="shared" si="21"/>
        <v>-133.8484</v>
      </c>
      <c r="K97" s="15">
        <f t="shared" si="22"/>
        <v>86.151600000000002</v>
      </c>
      <c r="L97" s="15">
        <f t="shared" si="21"/>
        <v>86.151600000000002</v>
      </c>
      <c r="M97" s="16">
        <f t="shared" si="17"/>
        <v>100</v>
      </c>
      <c r="N97" s="20">
        <f t="shared" si="21"/>
        <v>0</v>
      </c>
      <c r="O97" s="20">
        <f t="shared" si="21"/>
        <v>0</v>
      </c>
    </row>
    <row r="98" spans="1:15" ht="48" thickBot="1">
      <c r="A98" s="12" t="s">
        <v>139</v>
      </c>
      <c r="B98" s="13">
        <v>902</v>
      </c>
      <c r="C98" s="13"/>
      <c r="D98" s="13" t="s">
        <v>21</v>
      </c>
      <c r="E98" s="13" t="s">
        <v>140</v>
      </c>
      <c r="F98" s="13"/>
      <c r="G98" s="13"/>
      <c r="H98" s="14">
        <f>SUM(H99+H102+H105)</f>
        <v>220</v>
      </c>
      <c r="I98" s="14">
        <f>SUM(I99+I102+I105)</f>
        <v>0</v>
      </c>
      <c r="J98" s="14">
        <f>SUM(J99+J102+J105)</f>
        <v>-133.8484</v>
      </c>
      <c r="K98" s="15">
        <f t="shared" si="22"/>
        <v>86.151600000000002</v>
      </c>
      <c r="L98" s="15">
        <f>SUM(L99+L102+L105)</f>
        <v>86.151600000000002</v>
      </c>
      <c r="M98" s="16">
        <f t="shared" si="17"/>
        <v>100</v>
      </c>
      <c r="N98" s="14">
        <f>SUM(N99+N102+N105)</f>
        <v>0</v>
      </c>
      <c r="O98" s="14">
        <f>SUM(O99+O102+O105)</f>
        <v>0</v>
      </c>
    </row>
    <row r="99" spans="1:15" ht="48" thickBot="1">
      <c r="A99" s="12" t="s">
        <v>141</v>
      </c>
      <c r="B99" s="13">
        <v>902</v>
      </c>
      <c r="C99" s="13"/>
      <c r="D99" s="13" t="s">
        <v>21</v>
      </c>
      <c r="E99" s="13" t="s">
        <v>140</v>
      </c>
      <c r="F99" s="13">
        <v>2180000</v>
      </c>
      <c r="G99" s="13"/>
      <c r="H99" s="14">
        <f t="shared" ref="H99:O100" si="23">SUM(H100)</f>
        <v>200</v>
      </c>
      <c r="I99" s="14">
        <f t="shared" si="23"/>
        <v>0</v>
      </c>
      <c r="J99" s="14">
        <f t="shared" si="23"/>
        <v>-129.8484</v>
      </c>
      <c r="K99" s="15">
        <f t="shared" si="22"/>
        <v>70.151600000000002</v>
      </c>
      <c r="L99" s="15">
        <f t="shared" si="23"/>
        <v>70.151600000000002</v>
      </c>
      <c r="M99" s="16">
        <f t="shared" si="17"/>
        <v>100</v>
      </c>
      <c r="N99" s="14">
        <f t="shared" si="23"/>
        <v>0</v>
      </c>
      <c r="O99" s="14">
        <f t="shared" si="23"/>
        <v>0</v>
      </c>
    </row>
    <row r="100" spans="1:15" ht="63.75" thickBot="1">
      <c r="A100" s="12" t="s">
        <v>142</v>
      </c>
      <c r="B100" s="13">
        <v>902</v>
      </c>
      <c r="C100" s="13"/>
      <c r="D100" s="13" t="s">
        <v>21</v>
      </c>
      <c r="E100" s="13" t="s">
        <v>140</v>
      </c>
      <c r="F100" s="13">
        <v>2180100</v>
      </c>
      <c r="G100" s="13"/>
      <c r="H100" s="14">
        <f t="shared" si="23"/>
        <v>200</v>
      </c>
      <c r="I100" s="14">
        <f t="shared" si="23"/>
        <v>0</v>
      </c>
      <c r="J100" s="14">
        <f t="shared" si="23"/>
        <v>-129.8484</v>
      </c>
      <c r="K100" s="15">
        <f t="shared" si="22"/>
        <v>70.151600000000002</v>
      </c>
      <c r="L100" s="15">
        <f t="shared" si="23"/>
        <v>70.151600000000002</v>
      </c>
      <c r="M100" s="16">
        <f t="shared" si="17"/>
        <v>100</v>
      </c>
      <c r="N100" s="14">
        <f t="shared" si="23"/>
        <v>0</v>
      </c>
      <c r="O100" s="14">
        <f t="shared" si="23"/>
        <v>0</v>
      </c>
    </row>
    <row r="101" spans="1:15" ht="32.25" thickBot="1">
      <c r="A101" s="12" t="s">
        <v>46</v>
      </c>
      <c r="B101" s="13">
        <v>902</v>
      </c>
      <c r="C101" s="13"/>
      <c r="D101" s="13" t="s">
        <v>21</v>
      </c>
      <c r="E101" s="13" t="s">
        <v>140</v>
      </c>
      <c r="F101" s="13">
        <v>2180100</v>
      </c>
      <c r="G101" s="13">
        <v>500</v>
      </c>
      <c r="H101" s="17">
        <v>200</v>
      </c>
      <c r="I101" s="17"/>
      <c r="J101" s="17">
        <v>-129.8484</v>
      </c>
      <c r="K101" s="15">
        <f t="shared" si="22"/>
        <v>70.151600000000002</v>
      </c>
      <c r="L101" s="16">
        <v>70.151600000000002</v>
      </c>
      <c r="M101" s="16">
        <f t="shared" si="17"/>
        <v>100</v>
      </c>
      <c r="N101" s="17"/>
      <c r="O101" s="17"/>
    </row>
    <row r="102" spans="1:15" ht="16.5" thickBot="1">
      <c r="A102" s="12" t="s">
        <v>143</v>
      </c>
      <c r="B102" s="13">
        <v>902</v>
      </c>
      <c r="C102" s="13"/>
      <c r="D102" s="13" t="s">
        <v>21</v>
      </c>
      <c r="E102" s="13" t="s">
        <v>140</v>
      </c>
      <c r="F102" s="13">
        <v>2190000</v>
      </c>
      <c r="G102" s="13"/>
      <c r="H102" s="14">
        <f t="shared" ref="H102:O103" si="24">SUM(H103)</f>
        <v>20</v>
      </c>
      <c r="I102" s="14">
        <f t="shared" si="24"/>
        <v>0</v>
      </c>
      <c r="J102" s="14">
        <f t="shared" si="24"/>
        <v>-4</v>
      </c>
      <c r="K102" s="15">
        <f t="shared" si="22"/>
        <v>16</v>
      </c>
      <c r="L102" s="15">
        <f t="shared" si="24"/>
        <v>16</v>
      </c>
      <c r="M102" s="16">
        <f t="shared" si="17"/>
        <v>100</v>
      </c>
      <c r="N102" s="14">
        <f t="shared" si="24"/>
        <v>0</v>
      </c>
      <c r="O102" s="14">
        <f t="shared" si="24"/>
        <v>0</v>
      </c>
    </row>
    <row r="103" spans="1:15" ht="48" thickBot="1">
      <c r="A103" s="12" t="s">
        <v>144</v>
      </c>
      <c r="B103" s="13">
        <v>902</v>
      </c>
      <c r="C103" s="13"/>
      <c r="D103" s="13" t="s">
        <v>21</v>
      </c>
      <c r="E103" s="13" t="s">
        <v>140</v>
      </c>
      <c r="F103" s="13">
        <v>2190100</v>
      </c>
      <c r="G103" s="13"/>
      <c r="H103" s="14">
        <f t="shared" si="24"/>
        <v>20</v>
      </c>
      <c r="I103" s="14">
        <f t="shared" si="24"/>
        <v>0</v>
      </c>
      <c r="J103" s="14">
        <f t="shared" si="24"/>
        <v>-4</v>
      </c>
      <c r="K103" s="15">
        <f t="shared" si="22"/>
        <v>16</v>
      </c>
      <c r="L103" s="15">
        <f t="shared" si="24"/>
        <v>16</v>
      </c>
      <c r="M103" s="16">
        <f t="shared" si="17"/>
        <v>100</v>
      </c>
      <c r="N103" s="14">
        <f t="shared" si="24"/>
        <v>0</v>
      </c>
      <c r="O103" s="14">
        <f t="shared" si="24"/>
        <v>0</v>
      </c>
    </row>
    <row r="104" spans="1:15" ht="32.25" thickBot="1">
      <c r="A104" s="12" t="s">
        <v>145</v>
      </c>
      <c r="B104" s="13">
        <v>902</v>
      </c>
      <c r="C104" s="13"/>
      <c r="D104" s="13" t="s">
        <v>21</v>
      </c>
      <c r="E104" s="13" t="s">
        <v>140</v>
      </c>
      <c r="F104" s="13">
        <v>2190100</v>
      </c>
      <c r="G104" s="13">
        <v>500</v>
      </c>
      <c r="H104" s="17">
        <v>20</v>
      </c>
      <c r="I104" s="17"/>
      <c r="J104" s="17">
        <v>-4</v>
      </c>
      <c r="K104" s="15">
        <f t="shared" si="22"/>
        <v>16</v>
      </c>
      <c r="L104" s="16">
        <v>16</v>
      </c>
      <c r="M104" s="16">
        <f t="shared" si="17"/>
        <v>100</v>
      </c>
      <c r="N104" s="17"/>
      <c r="O104" s="17"/>
    </row>
    <row r="105" spans="1:15" ht="22.5" hidden="1" customHeight="1" thickBot="1">
      <c r="A105" s="12" t="s">
        <v>57</v>
      </c>
      <c r="B105" s="13" t="s">
        <v>58</v>
      </c>
      <c r="C105" s="13"/>
      <c r="D105" s="13" t="s">
        <v>21</v>
      </c>
      <c r="E105" s="13" t="s">
        <v>140</v>
      </c>
      <c r="F105" s="13" t="s">
        <v>59</v>
      </c>
      <c r="G105" s="13"/>
      <c r="H105" s="18">
        <f>SUM(H106)</f>
        <v>0</v>
      </c>
      <c r="I105" s="18">
        <f>SUM(I106)</f>
        <v>0</v>
      </c>
      <c r="J105" s="18">
        <f>SUM(J106)</f>
        <v>0</v>
      </c>
      <c r="K105" s="15">
        <f t="shared" si="22"/>
        <v>0</v>
      </c>
      <c r="L105" s="16">
        <f>SUM(L106)</f>
        <v>0</v>
      </c>
      <c r="M105" s="16" t="e">
        <f t="shared" si="17"/>
        <v>#DIV/0!</v>
      </c>
      <c r="N105" s="18">
        <f>SUM(N106)</f>
        <v>0</v>
      </c>
      <c r="O105" s="18">
        <f>SUM(O106)</f>
        <v>0</v>
      </c>
    </row>
    <row r="106" spans="1:15" ht="79.5" hidden="1" thickBot="1">
      <c r="A106" s="12" t="s">
        <v>146</v>
      </c>
      <c r="B106" s="13" t="s">
        <v>58</v>
      </c>
      <c r="C106" s="13"/>
      <c r="D106" s="13" t="s">
        <v>21</v>
      </c>
      <c r="E106" s="13" t="s">
        <v>140</v>
      </c>
      <c r="F106" s="13" t="s">
        <v>59</v>
      </c>
      <c r="G106" s="13" t="s">
        <v>30</v>
      </c>
      <c r="H106" s="17">
        <v>0</v>
      </c>
      <c r="I106" s="17"/>
      <c r="J106" s="17"/>
      <c r="K106" s="15">
        <f t="shared" si="22"/>
        <v>0</v>
      </c>
      <c r="L106" s="16">
        <v>0</v>
      </c>
      <c r="M106" s="16" t="e">
        <f t="shared" si="17"/>
        <v>#DIV/0!</v>
      </c>
      <c r="N106" s="17"/>
      <c r="O106" s="17"/>
    </row>
    <row r="107" spans="1:15" ht="16.5" thickBot="1">
      <c r="A107" s="12" t="s">
        <v>147</v>
      </c>
      <c r="B107" s="13">
        <v>902</v>
      </c>
      <c r="C107" s="13"/>
      <c r="D107" s="13" t="s">
        <v>48</v>
      </c>
      <c r="E107" s="13" t="s">
        <v>134</v>
      </c>
      <c r="F107" s="13"/>
      <c r="G107" s="13"/>
      <c r="H107" s="20">
        <f t="shared" ref="H107:O107" si="25">SUM(H111+H108)</f>
        <v>1390</v>
      </c>
      <c r="I107" s="20">
        <f t="shared" si="25"/>
        <v>0</v>
      </c>
      <c r="J107" s="20">
        <f t="shared" si="25"/>
        <v>-28.678999999999998</v>
      </c>
      <c r="K107" s="15">
        <f t="shared" si="25"/>
        <v>1361.3209999999999</v>
      </c>
      <c r="L107" s="15">
        <f t="shared" si="25"/>
        <v>1032.202</v>
      </c>
      <c r="M107" s="16">
        <f t="shared" si="17"/>
        <v>75.823556677668236</v>
      </c>
      <c r="N107" s="20">
        <f t="shared" si="25"/>
        <v>0</v>
      </c>
      <c r="O107" s="20">
        <f t="shared" si="25"/>
        <v>0</v>
      </c>
    </row>
    <row r="108" spans="1:15" ht="16.5" thickBot="1">
      <c r="A108" s="12" t="s">
        <v>148</v>
      </c>
      <c r="B108" s="13" t="s">
        <v>58</v>
      </c>
      <c r="C108" s="13"/>
      <c r="D108" s="13" t="s">
        <v>48</v>
      </c>
      <c r="E108" s="13" t="s">
        <v>140</v>
      </c>
      <c r="F108" s="13"/>
      <c r="G108" s="13"/>
      <c r="H108" s="14">
        <f t="shared" ref="H108:O109" si="26">SUM(H109)</f>
        <v>0</v>
      </c>
      <c r="I108" s="14">
        <f t="shared" si="26"/>
        <v>0</v>
      </c>
      <c r="J108" s="14">
        <f t="shared" si="26"/>
        <v>0</v>
      </c>
      <c r="K108" s="15">
        <f>SUM(H108:J108)</f>
        <v>0</v>
      </c>
      <c r="L108" s="15">
        <f t="shared" si="26"/>
        <v>0</v>
      </c>
      <c r="M108" s="16">
        <v>0</v>
      </c>
      <c r="N108" s="14">
        <f t="shared" si="26"/>
        <v>0</v>
      </c>
      <c r="O108" s="14">
        <f t="shared" si="26"/>
        <v>0</v>
      </c>
    </row>
    <row r="109" spans="1:15" ht="32.25" thickBot="1">
      <c r="A109" s="12" t="s">
        <v>149</v>
      </c>
      <c r="B109" s="13" t="s">
        <v>58</v>
      </c>
      <c r="C109" s="13"/>
      <c r="D109" s="13" t="s">
        <v>48</v>
      </c>
      <c r="E109" s="13" t="s">
        <v>140</v>
      </c>
      <c r="F109" s="13" t="s">
        <v>150</v>
      </c>
      <c r="G109" s="13"/>
      <c r="H109" s="14">
        <f t="shared" si="26"/>
        <v>0</v>
      </c>
      <c r="I109" s="14">
        <f t="shared" si="26"/>
        <v>0</v>
      </c>
      <c r="J109" s="14">
        <f t="shared" si="26"/>
        <v>0</v>
      </c>
      <c r="K109" s="15">
        <f>SUM(H109:J109)</f>
        <v>0</v>
      </c>
      <c r="L109" s="15">
        <f t="shared" si="26"/>
        <v>0</v>
      </c>
      <c r="M109" s="16">
        <v>0</v>
      </c>
      <c r="N109" s="14">
        <f t="shared" si="26"/>
        <v>0</v>
      </c>
      <c r="O109" s="14">
        <f t="shared" si="26"/>
        <v>0</v>
      </c>
    </row>
    <row r="110" spans="1:15" ht="16.5" thickBot="1">
      <c r="A110" s="12" t="s">
        <v>151</v>
      </c>
      <c r="B110" s="13" t="s">
        <v>58</v>
      </c>
      <c r="C110" s="13"/>
      <c r="D110" s="13" t="s">
        <v>48</v>
      </c>
      <c r="E110" s="13" t="s">
        <v>140</v>
      </c>
      <c r="F110" s="13" t="s">
        <v>150</v>
      </c>
      <c r="G110" s="13" t="s">
        <v>152</v>
      </c>
      <c r="H110" s="17">
        <v>0</v>
      </c>
      <c r="I110" s="17"/>
      <c r="J110" s="17"/>
      <c r="K110" s="15">
        <f>SUM(H110:J110)</f>
        <v>0</v>
      </c>
      <c r="L110" s="16">
        <v>0</v>
      </c>
      <c r="M110" s="16">
        <v>0</v>
      </c>
      <c r="N110" s="17"/>
      <c r="O110" s="17"/>
    </row>
    <row r="111" spans="1:15" ht="32.25" thickBot="1">
      <c r="A111" s="12" t="s">
        <v>153</v>
      </c>
      <c r="B111" s="13">
        <v>902</v>
      </c>
      <c r="C111" s="13"/>
      <c r="D111" s="13" t="s">
        <v>48</v>
      </c>
      <c r="E111" s="13">
        <v>12</v>
      </c>
      <c r="F111" s="13"/>
      <c r="G111" s="13"/>
      <c r="H111" s="14">
        <f>SUM(H112+H115+H117)</f>
        <v>1390</v>
      </c>
      <c r="I111" s="14">
        <f>SUM(I112+I115+I117)</f>
        <v>0</v>
      </c>
      <c r="J111" s="14">
        <f>SUM(J112+J115+J117)</f>
        <v>-28.678999999999998</v>
      </c>
      <c r="K111" s="15">
        <f t="shared" si="22"/>
        <v>1361.3209999999999</v>
      </c>
      <c r="L111" s="15">
        <f>SUM(L112+L115+L117)</f>
        <v>1032.202</v>
      </c>
      <c r="M111" s="16">
        <f t="shared" si="17"/>
        <v>75.823556677668236</v>
      </c>
      <c r="N111" s="14">
        <f>SUM(N112+N115+N117)</f>
        <v>0</v>
      </c>
      <c r="O111" s="14">
        <f>SUM(O112+O115+O117)</f>
        <v>0</v>
      </c>
    </row>
    <row r="112" spans="1:15" ht="32.25" thickBot="1">
      <c r="A112" s="12" t="s">
        <v>154</v>
      </c>
      <c r="B112" s="13">
        <v>902</v>
      </c>
      <c r="C112" s="13"/>
      <c r="D112" s="13" t="s">
        <v>48</v>
      </c>
      <c r="E112" s="13">
        <v>12</v>
      </c>
      <c r="F112" s="13">
        <v>3400000</v>
      </c>
      <c r="G112" s="13"/>
      <c r="H112" s="14">
        <f t="shared" ref="H112:O113" si="27">SUM(H113)</f>
        <v>750</v>
      </c>
      <c r="I112" s="14">
        <f t="shared" si="27"/>
        <v>0</v>
      </c>
      <c r="J112" s="14">
        <f t="shared" si="27"/>
        <v>-17.797999999999998</v>
      </c>
      <c r="K112" s="15">
        <f t="shared" si="22"/>
        <v>732.202</v>
      </c>
      <c r="L112" s="15">
        <f t="shared" si="27"/>
        <v>732.202</v>
      </c>
      <c r="M112" s="16">
        <f t="shared" si="17"/>
        <v>100</v>
      </c>
      <c r="N112" s="14">
        <f t="shared" si="27"/>
        <v>0</v>
      </c>
      <c r="O112" s="14">
        <f t="shared" si="27"/>
        <v>0</v>
      </c>
    </row>
    <row r="113" spans="1:15" ht="32.25" thickBot="1">
      <c r="A113" s="12" t="s">
        <v>155</v>
      </c>
      <c r="B113" s="13">
        <v>902</v>
      </c>
      <c r="C113" s="13"/>
      <c r="D113" s="13" t="s">
        <v>48</v>
      </c>
      <c r="E113" s="13">
        <v>12</v>
      </c>
      <c r="F113" s="13">
        <v>3400300</v>
      </c>
      <c r="G113" s="13"/>
      <c r="H113" s="14">
        <f t="shared" si="27"/>
        <v>750</v>
      </c>
      <c r="I113" s="14">
        <f t="shared" si="27"/>
        <v>0</v>
      </c>
      <c r="J113" s="14">
        <f t="shared" si="27"/>
        <v>-17.797999999999998</v>
      </c>
      <c r="K113" s="15">
        <f t="shared" si="22"/>
        <v>732.202</v>
      </c>
      <c r="L113" s="15">
        <f t="shared" si="27"/>
        <v>732.202</v>
      </c>
      <c r="M113" s="16">
        <f t="shared" si="17"/>
        <v>100</v>
      </c>
      <c r="N113" s="14">
        <f t="shared" si="27"/>
        <v>0</v>
      </c>
      <c r="O113" s="14">
        <f t="shared" si="27"/>
        <v>0</v>
      </c>
    </row>
    <row r="114" spans="1:15" ht="32.25" thickBot="1">
      <c r="A114" s="12" t="s">
        <v>46</v>
      </c>
      <c r="B114" s="13">
        <v>902</v>
      </c>
      <c r="C114" s="13"/>
      <c r="D114" s="13" t="s">
        <v>48</v>
      </c>
      <c r="E114" s="13">
        <v>12</v>
      </c>
      <c r="F114" s="13">
        <v>3400300</v>
      </c>
      <c r="G114" s="13">
        <v>500</v>
      </c>
      <c r="H114" s="17">
        <v>750</v>
      </c>
      <c r="I114" s="17"/>
      <c r="J114" s="17">
        <v>-17.797999999999998</v>
      </c>
      <c r="K114" s="15">
        <f t="shared" si="22"/>
        <v>732.202</v>
      </c>
      <c r="L114" s="16">
        <v>732.202</v>
      </c>
      <c r="M114" s="16">
        <f t="shared" si="17"/>
        <v>100</v>
      </c>
      <c r="N114" s="17"/>
      <c r="O114" s="17"/>
    </row>
    <row r="115" spans="1:15" ht="32.25" thickBot="1">
      <c r="A115" s="12" t="s">
        <v>156</v>
      </c>
      <c r="B115" s="13">
        <v>902</v>
      </c>
      <c r="C115" s="13"/>
      <c r="D115" s="13" t="s">
        <v>48</v>
      </c>
      <c r="E115" s="13">
        <v>12</v>
      </c>
      <c r="F115" s="13">
        <v>3380000</v>
      </c>
      <c r="G115" s="13"/>
      <c r="H115" s="14">
        <f>SUM(H116)</f>
        <v>50</v>
      </c>
      <c r="I115" s="14">
        <f>SUM(I116)</f>
        <v>0</v>
      </c>
      <c r="J115" s="14">
        <f>SUM(J116)</f>
        <v>-10.881</v>
      </c>
      <c r="K115" s="15">
        <f t="shared" si="22"/>
        <v>39.119</v>
      </c>
      <c r="L115" s="15">
        <f>SUM(L116)</f>
        <v>0</v>
      </c>
      <c r="M115" s="16">
        <f t="shared" si="17"/>
        <v>0</v>
      </c>
      <c r="N115" s="14">
        <f>SUM(N116)</f>
        <v>0</v>
      </c>
      <c r="O115" s="14">
        <f>SUM(O116)</f>
        <v>0</v>
      </c>
    </row>
    <row r="116" spans="1:15" ht="42" customHeight="1" thickBot="1">
      <c r="A116" s="12" t="s">
        <v>157</v>
      </c>
      <c r="B116" s="13">
        <v>902</v>
      </c>
      <c r="C116" s="13"/>
      <c r="D116" s="13" t="s">
        <v>48</v>
      </c>
      <c r="E116" s="13">
        <v>12</v>
      </c>
      <c r="F116" s="13" t="s">
        <v>158</v>
      </c>
      <c r="G116" s="13">
        <v>500</v>
      </c>
      <c r="H116" s="17">
        <v>50</v>
      </c>
      <c r="I116" s="17"/>
      <c r="J116" s="17">
        <v>-10.881</v>
      </c>
      <c r="K116" s="15">
        <f t="shared" si="22"/>
        <v>39.119</v>
      </c>
      <c r="L116" s="16">
        <v>0</v>
      </c>
      <c r="M116" s="16">
        <f t="shared" si="17"/>
        <v>0</v>
      </c>
      <c r="N116" s="17"/>
      <c r="O116" s="17"/>
    </row>
    <row r="117" spans="1:15" ht="26.25" customHeight="1" thickBot="1">
      <c r="A117" s="12" t="s">
        <v>57</v>
      </c>
      <c r="B117" s="13" t="s">
        <v>58</v>
      </c>
      <c r="C117" s="13"/>
      <c r="D117" s="13" t="s">
        <v>48</v>
      </c>
      <c r="E117" s="13" t="s">
        <v>159</v>
      </c>
      <c r="F117" s="13"/>
      <c r="G117" s="13"/>
      <c r="H117" s="14">
        <f>SUM(H118:H120)</f>
        <v>590</v>
      </c>
      <c r="I117" s="14">
        <f>SUM(I118:I120)</f>
        <v>0</v>
      </c>
      <c r="J117" s="14">
        <f>SUM(J118:J120)</f>
        <v>0</v>
      </c>
      <c r="K117" s="15">
        <f t="shared" si="22"/>
        <v>590</v>
      </c>
      <c r="L117" s="15">
        <f>SUM(L118:L120)</f>
        <v>300</v>
      </c>
      <c r="M117" s="16">
        <f t="shared" si="17"/>
        <v>50.847457627118644</v>
      </c>
      <c r="N117" s="14">
        <f>SUM(N118:N120)</f>
        <v>0</v>
      </c>
      <c r="O117" s="14">
        <f>SUM(O118:O120)</f>
        <v>0</v>
      </c>
    </row>
    <row r="118" spans="1:15" ht="46.5" customHeight="1" thickBot="1">
      <c r="A118" s="12" t="s">
        <v>160</v>
      </c>
      <c r="B118" s="13" t="s">
        <v>58</v>
      </c>
      <c r="C118" s="13"/>
      <c r="D118" s="13" t="s">
        <v>48</v>
      </c>
      <c r="E118" s="13" t="s">
        <v>159</v>
      </c>
      <c r="F118" s="13">
        <v>7950000</v>
      </c>
      <c r="G118" s="13" t="s">
        <v>161</v>
      </c>
      <c r="H118" s="17">
        <v>200</v>
      </c>
      <c r="I118" s="17"/>
      <c r="J118" s="17">
        <v>35</v>
      </c>
      <c r="K118" s="15">
        <f t="shared" si="22"/>
        <v>235</v>
      </c>
      <c r="L118" s="16">
        <v>235</v>
      </c>
      <c r="M118" s="16">
        <f t="shared" si="17"/>
        <v>100</v>
      </c>
      <c r="N118" s="17"/>
      <c r="O118" s="17"/>
    </row>
    <row r="119" spans="1:15" ht="51.75" customHeight="1" thickBot="1">
      <c r="A119" s="12" t="s">
        <v>162</v>
      </c>
      <c r="B119" s="13" t="s">
        <v>58</v>
      </c>
      <c r="C119" s="13"/>
      <c r="D119" s="13" t="s">
        <v>48</v>
      </c>
      <c r="E119" s="13" t="s">
        <v>159</v>
      </c>
      <c r="F119" s="13">
        <v>7950000</v>
      </c>
      <c r="G119" s="13" t="s">
        <v>30</v>
      </c>
      <c r="H119" s="17">
        <v>100</v>
      </c>
      <c r="I119" s="17"/>
      <c r="J119" s="17">
        <v>-35</v>
      </c>
      <c r="K119" s="15">
        <f t="shared" si="22"/>
        <v>65</v>
      </c>
      <c r="L119" s="16">
        <v>65</v>
      </c>
      <c r="M119" s="16">
        <f t="shared" si="17"/>
        <v>100</v>
      </c>
      <c r="N119" s="17"/>
      <c r="O119" s="17"/>
    </row>
    <row r="120" spans="1:15" ht="63.75" thickBot="1">
      <c r="A120" s="12" t="s">
        <v>163</v>
      </c>
      <c r="B120" s="13" t="s">
        <v>58</v>
      </c>
      <c r="C120" s="13"/>
      <c r="D120" s="13" t="s">
        <v>48</v>
      </c>
      <c r="E120" s="13" t="s">
        <v>159</v>
      </c>
      <c r="F120" s="13" t="s">
        <v>164</v>
      </c>
      <c r="G120" s="13" t="s">
        <v>161</v>
      </c>
      <c r="H120" s="17">
        <v>290</v>
      </c>
      <c r="I120" s="17"/>
      <c r="J120" s="17"/>
      <c r="K120" s="15">
        <f t="shared" si="22"/>
        <v>290</v>
      </c>
      <c r="L120" s="16">
        <v>0</v>
      </c>
      <c r="M120" s="16">
        <f t="shared" si="17"/>
        <v>0</v>
      </c>
      <c r="N120" s="17"/>
      <c r="O120" s="17"/>
    </row>
    <row r="121" spans="1:15" ht="16.5" thickBot="1">
      <c r="A121" s="12" t="s">
        <v>165</v>
      </c>
      <c r="B121" s="13">
        <v>902</v>
      </c>
      <c r="C121" s="13"/>
      <c r="D121" s="13" t="s">
        <v>62</v>
      </c>
      <c r="E121" s="13" t="s">
        <v>134</v>
      </c>
      <c r="F121" s="13"/>
      <c r="G121" s="13"/>
      <c r="H121" s="20">
        <f>SUM(H122)</f>
        <v>77265.975449999998</v>
      </c>
      <c r="I121" s="20">
        <f>SUM(I122)</f>
        <v>-0.2</v>
      </c>
      <c r="J121" s="20">
        <f>SUM(J122)</f>
        <v>0</v>
      </c>
      <c r="K121" s="15">
        <f t="shared" si="22"/>
        <v>77265.775450000001</v>
      </c>
      <c r="L121" s="15">
        <f>SUM(L122)</f>
        <v>76664.407630000002</v>
      </c>
      <c r="M121" s="16">
        <f t="shared" si="17"/>
        <v>99.221689271223127</v>
      </c>
      <c r="N121" s="20">
        <f>SUM(N122)</f>
        <v>0</v>
      </c>
      <c r="O121" s="20">
        <f>SUM(O122)</f>
        <v>0</v>
      </c>
    </row>
    <row r="122" spans="1:15" ht="16.5" thickBot="1">
      <c r="A122" s="12" t="s">
        <v>166</v>
      </c>
      <c r="B122" s="13">
        <v>902</v>
      </c>
      <c r="C122" s="13"/>
      <c r="D122" s="13" t="s">
        <v>62</v>
      </c>
      <c r="E122" s="13" t="s">
        <v>42</v>
      </c>
      <c r="F122" s="13"/>
      <c r="G122" s="13"/>
      <c r="H122" s="14">
        <f>SUM(H123+H126+H131)</f>
        <v>77265.975449999998</v>
      </c>
      <c r="I122" s="14">
        <f>SUM(I123+I126+I131)</f>
        <v>-0.2</v>
      </c>
      <c r="J122" s="14">
        <f>SUM(J123+J126+J131)</f>
        <v>0</v>
      </c>
      <c r="K122" s="15">
        <f t="shared" si="22"/>
        <v>77265.775450000001</v>
      </c>
      <c r="L122" s="15">
        <f>SUM(L123+L126+L131)</f>
        <v>76664.407630000002</v>
      </c>
      <c r="M122" s="16">
        <f t="shared" si="17"/>
        <v>99.221689271223127</v>
      </c>
      <c r="N122" s="14">
        <f>SUM(N123+N126+N131)</f>
        <v>0</v>
      </c>
      <c r="O122" s="14">
        <f>SUM(O123+O126+O131)</f>
        <v>0</v>
      </c>
    </row>
    <row r="123" spans="1:15" ht="16.5" thickBot="1">
      <c r="A123" s="12" t="s">
        <v>167</v>
      </c>
      <c r="B123" s="13">
        <v>902</v>
      </c>
      <c r="C123" s="13"/>
      <c r="D123" s="13" t="s">
        <v>62</v>
      </c>
      <c r="E123" s="13" t="s">
        <v>42</v>
      </c>
      <c r="F123" s="13">
        <v>3510000</v>
      </c>
      <c r="G123" s="13"/>
      <c r="H123" s="14">
        <f t="shared" ref="H123:O124" si="28">SUM(H124)</f>
        <v>0</v>
      </c>
      <c r="I123" s="14">
        <f t="shared" si="28"/>
        <v>0</v>
      </c>
      <c r="J123" s="14">
        <f t="shared" si="28"/>
        <v>0</v>
      </c>
      <c r="K123" s="15">
        <f t="shared" si="22"/>
        <v>0</v>
      </c>
      <c r="L123" s="15">
        <f t="shared" si="28"/>
        <v>0</v>
      </c>
      <c r="M123" s="16">
        <v>0</v>
      </c>
      <c r="N123" s="14">
        <f t="shared" si="28"/>
        <v>0</v>
      </c>
      <c r="O123" s="14">
        <f t="shared" si="28"/>
        <v>0</v>
      </c>
    </row>
    <row r="124" spans="1:15" ht="26.25" customHeight="1" thickBot="1">
      <c r="A124" s="12" t="s">
        <v>168</v>
      </c>
      <c r="B124" s="13">
        <v>902</v>
      </c>
      <c r="C124" s="13"/>
      <c r="D124" s="13" t="s">
        <v>62</v>
      </c>
      <c r="E124" s="13" t="s">
        <v>42</v>
      </c>
      <c r="F124" s="13">
        <v>3510500</v>
      </c>
      <c r="G124" s="13"/>
      <c r="H124" s="14">
        <f t="shared" si="28"/>
        <v>0</v>
      </c>
      <c r="I124" s="14">
        <f t="shared" si="28"/>
        <v>0</v>
      </c>
      <c r="J124" s="14">
        <f t="shared" si="28"/>
        <v>0</v>
      </c>
      <c r="K124" s="15">
        <f t="shared" si="22"/>
        <v>0</v>
      </c>
      <c r="L124" s="15">
        <f t="shared" si="28"/>
        <v>0</v>
      </c>
      <c r="M124" s="16">
        <v>0</v>
      </c>
      <c r="N124" s="14">
        <f t="shared" si="28"/>
        <v>0</v>
      </c>
      <c r="O124" s="14">
        <f t="shared" si="28"/>
        <v>0</v>
      </c>
    </row>
    <row r="125" spans="1:15" ht="51" customHeight="1" thickBot="1">
      <c r="A125" s="12" t="s">
        <v>169</v>
      </c>
      <c r="B125" s="13">
        <v>902</v>
      </c>
      <c r="C125" s="13"/>
      <c r="D125" s="13" t="s">
        <v>62</v>
      </c>
      <c r="E125" s="13" t="s">
        <v>42</v>
      </c>
      <c r="F125" s="13">
        <v>3510500</v>
      </c>
      <c r="G125" s="13">
        <v>500</v>
      </c>
      <c r="H125" s="17">
        <v>0</v>
      </c>
      <c r="I125" s="17"/>
      <c r="J125" s="17"/>
      <c r="K125" s="15">
        <f t="shared" si="22"/>
        <v>0</v>
      </c>
      <c r="L125" s="16">
        <v>0</v>
      </c>
      <c r="M125" s="16">
        <v>0</v>
      </c>
      <c r="N125" s="17"/>
      <c r="O125" s="17"/>
    </row>
    <row r="126" spans="1:15" ht="32.25" thickBot="1">
      <c r="A126" s="12" t="s">
        <v>170</v>
      </c>
      <c r="B126" s="13">
        <v>902</v>
      </c>
      <c r="C126" s="13"/>
      <c r="D126" s="13" t="s">
        <v>62</v>
      </c>
      <c r="E126" s="13" t="s">
        <v>42</v>
      </c>
      <c r="F126" s="13"/>
      <c r="G126" s="13"/>
      <c r="H126" s="14">
        <f>SUM(H127)</f>
        <v>77054.675449999995</v>
      </c>
      <c r="I126" s="14">
        <f>SUM(I127)</f>
        <v>-0.2</v>
      </c>
      <c r="J126" s="14">
        <f>SUM(J127)</f>
        <v>0</v>
      </c>
      <c r="K126" s="15">
        <f t="shared" si="22"/>
        <v>77054.475449999998</v>
      </c>
      <c r="L126" s="15">
        <f>SUM(L127)</f>
        <v>76608.268630000006</v>
      </c>
      <c r="M126" s="16">
        <f t="shared" si="17"/>
        <v>99.42092030684249</v>
      </c>
      <c r="N126" s="14">
        <f>SUM(N127)</f>
        <v>0</v>
      </c>
      <c r="O126" s="14">
        <f>SUM(O127)</f>
        <v>0</v>
      </c>
    </row>
    <row r="127" spans="1:15" ht="35.25" customHeight="1" thickBot="1">
      <c r="A127" s="12" t="s">
        <v>171</v>
      </c>
      <c r="B127" s="13">
        <v>902</v>
      </c>
      <c r="C127" s="13"/>
      <c r="D127" s="13" t="s">
        <v>62</v>
      </c>
      <c r="E127" s="13" t="s">
        <v>42</v>
      </c>
      <c r="F127" s="13"/>
      <c r="G127" s="13"/>
      <c r="H127" s="14">
        <f>SUM(H128:H130)</f>
        <v>77054.675449999995</v>
      </c>
      <c r="I127" s="14">
        <f>SUM(I128:I130)</f>
        <v>-0.2</v>
      </c>
      <c r="J127" s="14">
        <f>SUM(J128:J130)</f>
        <v>0</v>
      </c>
      <c r="K127" s="15">
        <f t="shared" si="22"/>
        <v>77054.475449999998</v>
      </c>
      <c r="L127" s="15">
        <f>SUM(L128:L130)</f>
        <v>76608.268630000006</v>
      </c>
      <c r="M127" s="16">
        <f t="shared" si="17"/>
        <v>99.42092030684249</v>
      </c>
      <c r="N127" s="14">
        <f>SUM(N128:N130)</f>
        <v>0</v>
      </c>
      <c r="O127" s="14">
        <f>SUM(O128:O130)</f>
        <v>0</v>
      </c>
    </row>
    <row r="128" spans="1:15" ht="63.75" thickBot="1">
      <c r="A128" s="12" t="s">
        <v>172</v>
      </c>
      <c r="B128" s="13">
        <v>902</v>
      </c>
      <c r="C128" s="13"/>
      <c r="D128" s="13" t="s">
        <v>62</v>
      </c>
      <c r="E128" s="13" t="s">
        <v>42</v>
      </c>
      <c r="F128" s="13" t="s">
        <v>85</v>
      </c>
      <c r="G128" s="13" t="s">
        <v>173</v>
      </c>
      <c r="H128" s="17">
        <f>84.97545+0.6</f>
        <v>85.575449999999989</v>
      </c>
      <c r="I128" s="17"/>
      <c r="J128" s="17"/>
      <c r="K128" s="15">
        <f t="shared" si="22"/>
        <v>85.575449999999989</v>
      </c>
      <c r="L128" s="16">
        <v>85.575450000000004</v>
      </c>
      <c r="M128" s="16">
        <f t="shared" si="17"/>
        <v>100.00000000000003</v>
      </c>
      <c r="N128" s="17"/>
      <c r="O128" s="17"/>
    </row>
    <row r="129" spans="1:15" ht="54.75" customHeight="1" thickBot="1">
      <c r="A129" s="12" t="s">
        <v>174</v>
      </c>
      <c r="B129" s="13"/>
      <c r="C129" s="13"/>
      <c r="D129" s="13" t="s">
        <v>62</v>
      </c>
      <c r="E129" s="13" t="s">
        <v>42</v>
      </c>
      <c r="F129" s="13" t="s">
        <v>175</v>
      </c>
      <c r="G129" s="13" t="s">
        <v>86</v>
      </c>
      <c r="H129" s="17">
        <f>716.9-271</f>
        <v>445.9</v>
      </c>
      <c r="I129" s="17"/>
      <c r="J129" s="17"/>
      <c r="K129" s="15">
        <f t="shared" si="22"/>
        <v>445.9</v>
      </c>
      <c r="L129" s="16">
        <v>0</v>
      </c>
      <c r="M129" s="16">
        <f t="shared" si="17"/>
        <v>0</v>
      </c>
      <c r="N129" s="17"/>
      <c r="O129" s="17"/>
    </row>
    <row r="130" spans="1:15" ht="32.25" thickBot="1">
      <c r="A130" s="12" t="s">
        <v>176</v>
      </c>
      <c r="B130" s="13">
        <v>902</v>
      </c>
      <c r="C130" s="13"/>
      <c r="D130" s="13" t="s">
        <v>62</v>
      </c>
      <c r="E130" s="13" t="s">
        <v>42</v>
      </c>
      <c r="F130" s="13" t="s">
        <v>177</v>
      </c>
      <c r="G130" s="13" t="s">
        <v>86</v>
      </c>
      <c r="H130" s="17">
        <v>76523.199999999997</v>
      </c>
      <c r="I130" s="17">
        <v>-0.2</v>
      </c>
      <c r="J130" s="17"/>
      <c r="K130" s="15">
        <f t="shared" si="22"/>
        <v>76523</v>
      </c>
      <c r="L130" s="16">
        <v>76522.693180000002</v>
      </c>
      <c r="M130" s="16">
        <f t="shared" si="17"/>
        <v>99.999599048652044</v>
      </c>
      <c r="N130" s="17"/>
      <c r="O130" s="17"/>
    </row>
    <row r="131" spans="1:15" ht="89.25" customHeight="1" thickBot="1">
      <c r="A131" s="12" t="s">
        <v>178</v>
      </c>
      <c r="B131" s="13" t="s">
        <v>58</v>
      </c>
      <c r="C131" s="13"/>
      <c r="D131" s="13" t="s">
        <v>62</v>
      </c>
      <c r="E131" s="13" t="s">
        <v>42</v>
      </c>
      <c r="F131" s="13" t="s">
        <v>179</v>
      </c>
      <c r="G131" s="13" t="s">
        <v>161</v>
      </c>
      <c r="H131" s="17">
        <v>211.3</v>
      </c>
      <c r="I131" s="17"/>
      <c r="J131" s="17"/>
      <c r="K131" s="15">
        <f t="shared" si="22"/>
        <v>211.3</v>
      </c>
      <c r="L131" s="16">
        <v>56.139000000000003</v>
      </c>
      <c r="M131" s="16">
        <f t="shared" si="17"/>
        <v>26.568386180785613</v>
      </c>
      <c r="N131" s="17"/>
      <c r="O131" s="17"/>
    </row>
    <row r="132" spans="1:15" ht="16.5" thickBot="1">
      <c r="A132" s="12" t="s">
        <v>180</v>
      </c>
      <c r="B132" s="13">
        <v>902</v>
      </c>
      <c r="C132" s="13"/>
      <c r="D132" s="13" t="s">
        <v>38</v>
      </c>
      <c r="E132" s="13"/>
      <c r="F132" s="13"/>
      <c r="G132" s="13"/>
      <c r="H132" s="20">
        <f t="shared" ref="H132:O134" si="29">SUM(H133)</f>
        <v>115.33000000000001</v>
      </c>
      <c r="I132" s="20">
        <f t="shared" si="29"/>
        <v>0</v>
      </c>
      <c r="J132" s="20">
        <f t="shared" si="29"/>
        <v>0</v>
      </c>
      <c r="K132" s="15">
        <f t="shared" si="22"/>
        <v>115.33000000000001</v>
      </c>
      <c r="L132" s="15">
        <f t="shared" si="29"/>
        <v>115.33</v>
      </c>
      <c r="M132" s="16">
        <f t="shared" si="17"/>
        <v>99.999999999999986</v>
      </c>
      <c r="N132" s="20">
        <f t="shared" si="29"/>
        <v>0</v>
      </c>
      <c r="O132" s="20">
        <f t="shared" si="29"/>
        <v>0</v>
      </c>
    </row>
    <row r="133" spans="1:15" ht="16.5" thickBot="1">
      <c r="A133" s="12" t="s">
        <v>181</v>
      </c>
      <c r="B133" s="13">
        <v>902</v>
      </c>
      <c r="C133" s="13"/>
      <c r="D133" s="13" t="s">
        <v>38</v>
      </c>
      <c r="E133" s="13" t="s">
        <v>62</v>
      </c>
      <c r="F133" s="13"/>
      <c r="G133" s="13"/>
      <c r="H133" s="14">
        <f t="shared" si="29"/>
        <v>115.33000000000001</v>
      </c>
      <c r="I133" s="14">
        <f t="shared" si="29"/>
        <v>0</v>
      </c>
      <c r="J133" s="14">
        <f t="shared" si="29"/>
        <v>0</v>
      </c>
      <c r="K133" s="15">
        <f t="shared" si="22"/>
        <v>115.33000000000001</v>
      </c>
      <c r="L133" s="15">
        <f t="shared" si="29"/>
        <v>115.33</v>
      </c>
      <c r="M133" s="16">
        <f t="shared" si="17"/>
        <v>99.999999999999986</v>
      </c>
      <c r="N133" s="14">
        <f t="shared" si="29"/>
        <v>0</v>
      </c>
      <c r="O133" s="14">
        <f t="shared" si="29"/>
        <v>0</v>
      </c>
    </row>
    <row r="134" spans="1:15" ht="22.5" customHeight="1" thickBot="1">
      <c r="A134" s="12" t="s">
        <v>57</v>
      </c>
      <c r="B134" s="13">
        <v>902</v>
      </c>
      <c r="C134" s="13"/>
      <c r="D134" s="13" t="s">
        <v>38</v>
      </c>
      <c r="E134" s="13" t="s">
        <v>62</v>
      </c>
      <c r="F134" s="13">
        <v>7950000</v>
      </c>
      <c r="G134" s="13"/>
      <c r="H134" s="14">
        <f t="shared" si="29"/>
        <v>115.33000000000001</v>
      </c>
      <c r="I134" s="14">
        <f t="shared" si="29"/>
        <v>0</v>
      </c>
      <c r="J134" s="14">
        <f t="shared" si="29"/>
        <v>0</v>
      </c>
      <c r="K134" s="15">
        <f t="shared" si="22"/>
        <v>115.33000000000001</v>
      </c>
      <c r="L134" s="15">
        <f t="shared" si="29"/>
        <v>115.33</v>
      </c>
      <c r="M134" s="16">
        <f t="shared" si="17"/>
        <v>99.999999999999986</v>
      </c>
      <c r="N134" s="14">
        <f t="shared" si="29"/>
        <v>0</v>
      </c>
      <c r="O134" s="14">
        <f t="shared" si="29"/>
        <v>0</v>
      </c>
    </row>
    <row r="135" spans="1:15" ht="32.25" thickBot="1">
      <c r="A135" s="12" t="s">
        <v>182</v>
      </c>
      <c r="B135" s="13">
        <v>902</v>
      </c>
      <c r="C135" s="13"/>
      <c r="D135" s="13" t="s">
        <v>38</v>
      </c>
      <c r="E135" s="13" t="s">
        <v>62</v>
      </c>
      <c r="F135" s="13">
        <v>7950000</v>
      </c>
      <c r="G135" s="13" t="s">
        <v>30</v>
      </c>
      <c r="H135" s="17">
        <f>350-234.67</f>
        <v>115.33000000000001</v>
      </c>
      <c r="I135" s="17"/>
      <c r="J135" s="17"/>
      <c r="K135" s="15">
        <f t="shared" si="22"/>
        <v>115.33000000000001</v>
      </c>
      <c r="L135" s="16">
        <v>115.33</v>
      </c>
      <c r="M135" s="16">
        <f t="shared" si="17"/>
        <v>99.999999999999986</v>
      </c>
      <c r="N135" s="17"/>
      <c r="O135" s="17"/>
    </row>
    <row r="136" spans="1:15" ht="16.5" thickBot="1">
      <c r="A136" s="12" t="s">
        <v>183</v>
      </c>
      <c r="B136" s="13">
        <v>902</v>
      </c>
      <c r="C136" s="13"/>
      <c r="D136" s="13" t="s">
        <v>71</v>
      </c>
      <c r="E136" s="13" t="s">
        <v>134</v>
      </c>
      <c r="F136" s="13"/>
      <c r="G136" s="13"/>
      <c r="H136" s="19">
        <f>SUM(H137+H150+H185+H202)</f>
        <v>183829.49109999998</v>
      </c>
      <c r="I136" s="19">
        <f>SUM(I137+I150+I185+I202)</f>
        <v>5747.9000000000005</v>
      </c>
      <c r="J136" s="19">
        <f>SUM(J137+J150+J185+J202)</f>
        <v>-2091.2345499999997</v>
      </c>
      <c r="K136" s="15">
        <f t="shared" si="22"/>
        <v>187486.15654999999</v>
      </c>
      <c r="L136" s="16">
        <f>SUM(L137+L150+L185+L202)</f>
        <v>173678.72435999999</v>
      </c>
      <c r="M136" s="16">
        <f t="shared" si="17"/>
        <v>92.635492430974367</v>
      </c>
      <c r="N136" s="19">
        <f>SUM(N137+N150+N185+N202)</f>
        <v>0</v>
      </c>
      <c r="O136" s="19">
        <f>SUM(O137+O150+O185+O202)</f>
        <v>0</v>
      </c>
    </row>
    <row r="137" spans="1:15" ht="16.5" thickBot="1">
      <c r="A137" s="12" t="s">
        <v>184</v>
      </c>
      <c r="B137" s="13">
        <v>902</v>
      </c>
      <c r="C137" s="13"/>
      <c r="D137" s="13" t="s">
        <v>71</v>
      </c>
      <c r="E137" s="13" t="s">
        <v>19</v>
      </c>
      <c r="F137" s="13"/>
      <c r="G137" s="13"/>
      <c r="H137" s="14">
        <f t="shared" ref="H137:O137" si="30">SUM(H138+H144+H147+H148+H149)</f>
        <v>24942.95477</v>
      </c>
      <c r="I137" s="14">
        <f t="shared" si="30"/>
        <v>4155</v>
      </c>
      <c r="J137" s="14">
        <f t="shared" si="30"/>
        <v>-1142.6933799999997</v>
      </c>
      <c r="K137" s="15">
        <f t="shared" si="30"/>
        <v>27955.26139</v>
      </c>
      <c r="L137" s="15">
        <f t="shared" si="30"/>
        <v>24727.02162</v>
      </c>
      <c r="M137" s="16">
        <f t="shared" si="17"/>
        <v>88.452120962264416</v>
      </c>
      <c r="N137" s="14">
        <f t="shared" si="30"/>
        <v>0</v>
      </c>
      <c r="O137" s="14">
        <f t="shared" si="30"/>
        <v>0</v>
      </c>
    </row>
    <row r="138" spans="1:15" ht="32.25" thickBot="1">
      <c r="A138" s="12" t="s">
        <v>123</v>
      </c>
      <c r="B138" s="13" t="s">
        <v>58</v>
      </c>
      <c r="C138" s="13"/>
      <c r="D138" s="13" t="s">
        <v>71</v>
      </c>
      <c r="E138" s="13" t="s">
        <v>19</v>
      </c>
      <c r="F138" s="13" t="s">
        <v>185</v>
      </c>
      <c r="G138" s="13"/>
      <c r="H138" s="18">
        <f t="shared" ref="H138:O138" si="31">SUM(H139+H141+H143)</f>
        <v>21065.016250000001</v>
      </c>
      <c r="I138" s="18">
        <f t="shared" si="31"/>
        <v>4155</v>
      </c>
      <c r="J138" s="18">
        <f t="shared" si="31"/>
        <v>-1155.4511299999999</v>
      </c>
      <c r="K138" s="16">
        <f t="shared" si="31"/>
        <v>24064.565119999999</v>
      </c>
      <c r="L138" s="16">
        <f t="shared" si="31"/>
        <v>21731.894929999999</v>
      </c>
      <c r="M138" s="16">
        <f t="shared" si="17"/>
        <v>90.306618140124527</v>
      </c>
      <c r="N138" s="18">
        <f t="shared" si="31"/>
        <v>0</v>
      </c>
      <c r="O138" s="18">
        <f t="shared" si="31"/>
        <v>0</v>
      </c>
    </row>
    <row r="139" spans="1:15" ht="63.75" thickBot="1">
      <c r="A139" s="12" t="s">
        <v>186</v>
      </c>
      <c r="B139" s="13">
        <v>902</v>
      </c>
      <c r="C139" s="13"/>
      <c r="D139" s="13" t="s">
        <v>71</v>
      </c>
      <c r="E139" s="13" t="s">
        <v>19</v>
      </c>
      <c r="F139" s="13" t="s">
        <v>187</v>
      </c>
      <c r="G139" s="13" t="s">
        <v>126</v>
      </c>
      <c r="H139" s="18">
        <f>SUM(H140)</f>
        <v>21032.65739</v>
      </c>
      <c r="I139" s="18">
        <f>SUM(I140)</f>
        <v>4155</v>
      </c>
      <c r="J139" s="18">
        <f>SUM(J140)</f>
        <v>-1155.4511299999999</v>
      </c>
      <c r="K139" s="15">
        <f t="shared" si="22"/>
        <v>24032.206259999999</v>
      </c>
      <c r="L139" s="16">
        <f>SUM(L140)</f>
        <v>21721.22755</v>
      </c>
      <c r="M139" s="16">
        <f t="shared" si="17"/>
        <v>90.383826249667024</v>
      </c>
      <c r="N139" s="18">
        <f>SUM(N140)</f>
        <v>0</v>
      </c>
      <c r="O139" s="18">
        <f>SUM(O140)</f>
        <v>0</v>
      </c>
    </row>
    <row r="140" spans="1:15" ht="63.75" thickBot="1">
      <c r="A140" s="12" t="s">
        <v>127</v>
      </c>
      <c r="B140" s="13">
        <v>902</v>
      </c>
      <c r="C140" s="13"/>
      <c r="D140" s="13" t="s">
        <v>71</v>
      </c>
      <c r="E140" s="13" t="s">
        <v>19</v>
      </c>
      <c r="F140" s="13" t="s">
        <v>187</v>
      </c>
      <c r="G140" s="13" t="s">
        <v>126</v>
      </c>
      <c r="H140" s="17">
        <f>19672.8+716+93.7+386.15739+164</f>
        <v>21032.65739</v>
      </c>
      <c r="I140" s="17">
        <f>1155+500+2500</f>
        <v>4155</v>
      </c>
      <c r="J140" s="17">
        <v>-1155.4511299999999</v>
      </c>
      <c r="K140" s="15">
        <f t="shared" si="22"/>
        <v>24032.206259999999</v>
      </c>
      <c r="L140" s="16">
        <f>22687.65739-966.42984</f>
        <v>21721.22755</v>
      </c>
      <c r="M140" s="16">
        <f t="shared" ref="M140:M203" si="32">SUM(L140/K140)*100</f>
        <v>90.383826249667024</v>
      </c>
      <c r="N140" s="17"/>
      <c r="O140" s="17"/>
    </row>
    <row r="141" spans="1:15" ht="32.25" thickBot="1">
      <c r="A141" s="12" t="s">
        <v>188</v>
      </c>
      <c r="B141" s="13">
        <v>902</v>
      </c>
      <c r="C141" s="13">
        <v>903</v>
      </c>
      <c r="D141" s="13" t="s">
        <v>71</v>
      </c>
      <c r="E141" s="13" t="s">
        <v>19</v>
      </c>
      <c r="F141" s="13" t="s">
        <v>187</v>
      </c>
      <c r="G141" s="13" t="s">
        <v>126</v>
      </c>
      <c r="H141" s="17">
        <v>32.35886</v>
      </c>
      <c r="I141" s="17"/>
      <c r="J141" s="17"/>
      <c r="K141" s="15">
        <f t="shared" si="22"/>
        <v>32.35886</v>
      </c>
      <c r="L141" s="16">
        <v>10.66738</v>
      </c>
      <c r="M141" s="16">
        <f t="shared" si="32"/>
        <v>32.965870861952489</v>
      </c>
      <c r="N141" s="17"/>
      <c r="O141" s="17"/>
    </row>
    <row r="142" spans="1:15" ht="26.25" hidden="1" customHeight="1" thickBot="1">
      <c r="A142" s="12" t="s">
        <v>128</v>
      </c>
      <c r="B142" s="13">
        <v>902</v>
      </c>
      <c r="C142" s="13"/>
      <c r="D142" s="13" t="s">
        <v>71</v>
      </c>
      <c r="E142" s="13" t="s">
        <v>19</v>
      </c>
      <c r="F142" s="13" t="s">
        <v>187</v>
      </c>
      <c r="G142" s="13" t="s">
        <v>101</v>
      </c>
      <c r="H142" s="14">
        <f>SUM(H143)</f>
        <v>0</v>
      </c>
      <c r="I142" s="14">
        <f>SUM(I143)</f>
        <v>0</v>
      </c>
      <c r="J142" s="14">
        <f>SUM(J143)</f>
        <v>0</v>
      </c>
      <c r="K142" s="15">
        <f t="shared" si="22"/>
        <v>0</v>
      </c>
      <c r="L142" s="15">
        <f>SUM(L143)</f>
        <v>0</v>
      </c>
      <c r="M142" s="16" t="e">
        <f t="shared" si="32"/>
        <v>#DIV/0!</v>
      </c>
      <c r="N142" s="14">
        <f>SUM(N143)</f>
        <v>0</v>
      </c>
      <c r="O142" s="14">
        <f>SUM(O143)</f>
        <v>0</v>
      </c>
    </row>
    <row r="143" spans="1:15" ht="111" hidden="1" thickBot="1">
      <c r="A143" s="12" t="s">
        <v>189</v>
      </c>
      <c r="B143" s="13" t="s">
        <v>58</v>
      </c>
      <c r="C143" s="13" t="s">
        <v>190</v>
      </c>
      <c r="D143" s="13" t="s">
        <v>71</v>
      </c>
      <c r="E143" s="13" t="s">
        <v>19</v>
      </c>
      <c r="F143" s="13" t="s">
        <v>187</v>
      </c>
      <c r="G143" s="13" t="s">
        <v>101</v>
      </c>
      <c r="H143" s="17">
        <v>0</v>
      </c>
      <c r="I143" s="17"/>
      <c r="J143" s="17"/>
      <c r="K143" s="15">
        <f t="shared" si="22"/>
        <v>0</v>
      </c>
      <c r="L143" s="16">
        <v>0</v>
      </c>
      <c r="M143" s="16" t="e">
        <f t="shared" si="32"/>
        <v>#DIV/0!</v>
      </c>
      <c r="N143" s="17"/>
      <c r="O143" s="17"/>
    </row>
    <row r="144" spans="1:15" ht="21.75" customHeight="1" thickBot="1">
      <c r="A144" s="12" t="s">
        <v>57</v>
      </c>
      <c r="B144" s="13" t="s">
        <v>58</v>
      </c>
      <c r="C144" s="13"/>
      <c r="D144" s="13" t="s">
        <v>71</v>
      </c>
      <c r="E144" s="13" t="s">
        <v>19</v>
      </c>
      <c r="F144" s="13" t="s">
        <v>59</v>
      </c>
      <c r="G144" s="13"/>
      <c r="H144" s="14">
        <f>SUM(H145:H146)</f>
        <v>840.63799999999992</v>
      </c>
      <c r="I144" s="14">
        <f>SUM(I145:I146)</f>
        <v>0</v>
      </c>
      <c r="J144" s="14">
        <f>SUM(J145:J146)</f>
        <v>-13.292010000000001</v>
      </c>
      <c r="K144" s="15">
        <f t="shared" si="22"/>
        <v>827.34598999999992</v>
      </c>
      <c r="L144" s="15">
        <f>SUM(L145:L146)</f>
        <v>827.34599000000003</v>
      </c>
      <c r="M144" s="16">
        <f t="shared" si="32"/>
        <v>100.00000000000003</v>
      </c>
      <c r="N144" s="14">
        <f>SUM(N145:N146)</f>
        <v>0</v>
      </c>
      <c r="O144" s="14">
        <f>SUM(O145:O146)</f>
        <v>0</v>
      </c>
    </row>
    <row r="145" spans="1:15" ht="55.5" customHeight="1" thickBot="1">
      <c r="A145" s="12" t="s">
        <v>191</v>
      </c>
      <c r="B145" s="13" t="s">
        <v>58</v>
      </c>
      <c r="C145" s="13" t="s">
        <v>192</v>
      </c>
      <c r="D145" s="13" t="s">
        <v>71</v>
      </c>
      <c r="E145" s="13" t="s">
        <v>19</v>
      </c>
      <c r="F145" s="13" t="s">
        <v>59</v>
      </c>
      <c r="G145" s="13" t="s">
        <v>101</v>
      </c>
      <c r="H145" s="17">
        <v>341.9</v>
      </c>
      <c r="I145" s="17"/>
      <c r="J145" s="17">
        <v>-44.904969999999999</v>
      </c>
      <c r="K145" s="15">
        <f t="shared" si="22"/>
        <v>296.99502999999999</v>
      </c>
      <c r="L145" s="16">
        <v>296.99502999999999</v>
      </c>
      <c r="M145" s="16">
        <f t="shared" si="32"/>
        <v>100</v>
      </c>
      <c r="N145" s="17"/>
      <c r="O145" s="17"/>
    </row>
    <row r="146" spans="1:15" ht="61.5" customHeight="1" thickBot="1">
      <c r="A146" s="12" t="s">
        <v>193</v>
      </c>
      <c r="B146" s="13" t="s">
        <v>58</v>
      </c>
      <c r="C146" s="13" t="s">
        <v>113</v>
      </c>
      <c r="D146" s="13" t="s">
        <v>71</v>
      </c>
      <c r="E146" s="13" t="s">
        <v>19</v>
      </c>
      <c r="F146" s="13" t="s">
        <v>59</v>
      </c>
      <c r="G146" s="13" t="s">
        <v>101</v>
      </c>
      <c r="H146" s="17">
        <f>419.14798+30+49.59002</f>
        <v>498.738</v>
      </c>
      <c r="I146" s="17"/>
      <c r="J146" s="17">
        <f>31.59696+0.016</f>
        <v>31.612959999999998</v>
      </c>
      <c r="K146" s="15">
        <f t="shared" si="22"/>
        <v>530.35095999999999</v>
      </c>
      <c r="L146" s="16">
        <v>530.35095999999999</v>
      </c>
      <c r="M146" s="16">
        <f t="shared" si="32"/>
        <v>100</v>
      </c>
      <c r="N146" s="17"/>
      <c r="O146" s="17"/>
    </row>
    <row r="147" spans="1:15" ht="32.25" thickBot="1">
      <c r="A147" s="12" t="s">
        <v>188</v>
      </c>
      <c r="B147" s="13">
        <v>902</v>
      </c>
      <c r="C147" s="13">
        <v>903</v>
      </c>
      <c r="D147" s="13" t="s">
        <v>71</v>
      </c>
      <c r="E147" s="13" t="s">
        <v>19</v>
      </c>
      <c r="F147" s="13" t="s">
        <v>187</v>
      </c>
      <c r="G147" s="13" t="s">
        <v>194</v>
      </c>
      <c r="H147" s="17">
        <v>3.54114</v>
      </c>
      <c r="I147" s="17"/>
      <c r="J147" s="17"/>
      <c r="K147" s="15">
        <f t="shared" si="22"/>
        <v>3.54114</v>
      </c>
      <c r="L147" s="16">
        <v>3.54114</v>
      </c>
      <c r="M147" s="16">
        <f t="shared" si="32"/>
        <v>100</v>
      </c>
      <c r="N147" s="17"/>
      <c r="O147" s="17"/>
    </row>
    <row r="148" spans="1:15" ht="60.75" customHeight="1" thickBot="1">
      <c r="A148" s="12" t="s">
        <v>195</v>
      </c>
      <c r="B148" s="13" t="s">
        <v>58</v>
      </c>
      <c r="C148" s="13"/>
      <c r="D148" s="13" t="s">
        <v>71</v>
      </c>
      <c r="E148" s="13" t="s">
        <v>19</v>
      </c>
      <c r="F148" s="13" t="s">
        <v>196</v>
      </c>
      <c r="G148" s="13" t="s">
        <v>86</v>
      </c>
      <c r="H148" s="17">
        <f>0.19622+2072.5</f>
        <v>2072.6962199999998</v>
      </c>
      <c r="I148" s="17"/>
      <c r="J148" s="17"/>
      <c r="K148" s="15">
        <f t="shared" si="22"/>
        <v>2072.6962199999998</v>
      </c>
      <c r="L148" s="16">
        <v>2072.62664</v>
      </c>
      <c r="M148" s="16">
        <f t="shared" si="32"/>
        <v>99.996643019882583</v>
      </c>
      <c r="N148" s="17"/>
      <c r="O148" s="17"/>
    </row>
    <row r="149" spans="1:15" ht="63.75" thickBot="1">
      <c r="A149" s="12" t="s">
        <v>197</v>
      </c>
      <c r="B149" s="13" t="s">
        <v>58</v>
      </c>
      <c r="C149" s="13"/>
      <c r="D149" s="13" t="s">
        <v>71</v>
      </c>
      <c r="E149" s="13" t="s">
        <v>19</v>
      </c>
      <c r="F149" s="13" t="s">
        <v>85</v>
      </c>
      <c r="G149" s="13" t="s">
        <v>173</v>
      </c>
      <c r="H149" s="17">
        <f>971.06316+270-280</f>
        <v>961.06316000000015</v>
      </c>
      <c r="I149" s="17"/>
      <c r="J149" s="17">
        <f>-31.59696+57.64672</f>
        <v>26.049760000000003</v>
      </c>
      <c r="K149" s="15">
        <f t="shared" si="22"/>
        <v>987.11292000000014</v>
      </c>
      <c r="L149" s="16">
        <v>91.612920000000003</v>
      </c>
      <c r="M149" s="16">
        <f t="shared" si="32"/>
        <v>9.280895644644179</v>
      </c>
      <c r="N149" s="17"/>
      <c r="O149" s="17"/>
    </row>
    <row r="150" spans="1:15" ht="16.5" thickBot="1">
      <c r="A150" s="12" t="s">
        <v>198</v>
      </c>
      <c r="B150" s="13">
        <v>902</v>
      </c>
      <c r="C150" s="13"/>
      <c r="D150" s="13" t="s">
        <v>71</v>
      </c>
      <c r="E150" s="13" t="s">
        <v>42</v>
      </c>
      <c r="F150" s="13"/>
      <c r="G150" s="13"/>
      <c r="H150" s="14">
        <f>SUM(H151+H179)</f>
        <v>150296.54233</v>
      </c>
      <c r="I150" s="14">
        <f>SUM(I151+I179)</f>
        <v>1592.9000000000003</v>
      </c>
      <c r="J150" s="14">
        <f>SUM(J151+J179)</f>
        <v>-842.42587000000015</v>
      </c>
      <c r="K150" s="15">
        <f t="shared" si="22"/>
        <v>151047.01645999998</v>
      </c>
      <c r="L150" s="15">
        <f>SUM(L151+L179)</f>
        <v>140581.01082</v>
      </c>
      <c r="M150" s="16">
        <f t="shared" si="32"/>
        <v>93.071027892317503</v>
      </c>
      <c r="N150" s="14">
        <f>SUM(N151+N179)</f>
        <v>0</v>
      </c>
      <c r="O150" s="14">
        <f>SUM(O151+O179)</f>
        <v>0</v>
      </c>
    </row>
    <row r="151" spans="1:15" ht="32.25" thickBot="1">
      <c r="A151" s="12" t="s">
        <v>199</v>
      </c>
      <c r="B151" s="13">
        <v>902</v>
      </c>
      <c r="C151" s="13"/>
      <c r="D151" s="13" t="s">
        <v>71</v>
      </c>
      <c r="E151" s="13" t="s">
        <v>42</v>
      </c>
      <c r="F151" s="13"/>
      <c r="G151" s="13"/>
      <c r="H151" s="14">
        <f>SUM(H152+H154+H164)</f>
        <v>144262.17285</v>
      </c>
      <c r="I151" s="14">
        <f>SUM(I152+I154+I164)</f>
        <v>1092.9000000000003</v>
      </c>
      <c r="J151" s="14">
        <f>SUM(J152+J154+J164)</f>
        <v>-737.48319000000015</v>
      </c>
      <c r="K151" s="15">
        <f t="shared" si="22"/>
        <v>144617.58966</v>
      </c>
      <c r="L151" s="15">
        <f>SUM(L152+L154+L164)</f>
        <v>135176.62591</v>
      </c>
      <c r="M151" s="16">
        <f t="shared" si="32"/>
        <v>93.471773542764765</v>
      </c>
      <c r="N151" s="14">
        <f>SUM(N152+N154+N164)</f>
        <v>0</v>
      </c>
      <c r="O151" s="14">
        <f>SUM(O152+O154+O164)</f>
        <v>0</v>
      </c>
    </row>
    <row r="152" spans="1:15" ht="48" thickBot="1">
      <c r="A152" s="12" t="s">
        <v>200</v>
      </c>
      <c r="B152" s="13">
        <v>902</v>
      </c>
      <c r="C152" s="13" t="s">
        <v>28</v>
      </c>
      <c r="D152" s="13" t="s">
        <v>71</v>
      </c>
      <c r="E152" s="13" t="s">
        <v>42</v>
      </c>
      <c r="F152" s="13" t="s">
        <v>201</v>
      </c>
      <c r="G152" s="13"/>
      <c r="H152" s="14">
        <f>SUM(H153)</f>
        <v>70.787000000000006</v>
      </c>
      <c r="I152" s="14">
        <f>SUM(I153)</f>
        <v>0</v>
      </c>
      <c r="J152" s="14">
        <f>SUM(J153)</f>
        <v>0</v>
      </c>
      <c r="K152" s="15">
        <f t="shared" si="22"/>
        <v>70.787000000000006</v>
      </c>
      <c r="L152" s="15">
        <f>SUM(L153)</f>
        <v>70.787000000000006</v>
      </c>
      <c r="M152" s="16">
        <f t="shared" si="32"/>
        <v>100</v>
      </c>
      <c r="N152" s="14">
        <f>SUM(N153)</f>
        <v>0</v>
      </c>
      <c r="O152" s="14">
        <f>SUM(O153)</f>
        <v>0</v>
      </c>
    </row>
    <row r="153" spans="1:15" ht="29.25" customHeight="1" thickBot="1">
      <c r="A153" s="12" t="s">
        <v>202</v>
      </c>
      <c r="B153" s="13">
        <v>902</v>
      </c>
      <c r="C153" s="13" t="s">
        <v>28</v>
      </c>
      <c r="D153" s="13" t="s">
        <v>71</v>
      </c>
      <c r="E153" s="13" t="s">
        <v>42</v>
      </c>
      <c r="F153" s="13" t="s">
        <v>201</v>
      </c>
      <c r="G153" s="13" t="s">
        <v>105</v>
      </c>
      <c r="H153" s="17">
        <f>80.7-9.913</f>
        <v>70.787000000000006</v>
      </c>
      <c r="I153" s="17"/>
      <c r="J153" s="17"/>
      <c r="K153" s="15">
        <f t="shared" si="22"/>
        <v>70.787000000000006</v>
      </c>
      <c r="L153" s="16">
        <v>70.787000000000006</v>
      </c>
      <c r="M153" s="16">
        <f t="shared" si="32"/>
        <v>100</v>
      </c>
      <c r="N153" s="17"/>
      <c r="O153" s="17"/>
    </row>
    <row r="154" spans="1:15" ht="26.25" customHeight="1" thickBot="1">
      <c r="A154" s="12" t="s">
        <v>203</v>
      </c>
      <c r="B154" s="13">
        <v>902</v>
      </c>
      <c r="C154" s="13"/>
      <c r="D154" s="13" t="s">
        <v>71</v>
      </c>
      <c r="E154" s="13" t="s">
        <v>42</v>
      </c>
      <c r="F154" s="13"/>
      <c r="G154" s="13"/>
      <c r="H154" s="14">
        <f>SUM(H155,H159:H160,H161)</f>
        <v>9048.9888999999985</v>
      </c>
      <c r="I154" s="14">
        <f>SUM(I155,I159:I160,I161)</f>
        <v>-522.41788999999994</v>
      </c>
      <c r="J154" s="14">
        <f>SUM(J155,J159:J160,J161)</f>
        <v>-252.09210999999999</v>
      </c>
      <c r="K154" s="15">
        <f t="shared" si="22"/>
        <v>8274.4788999999982</v>
      </c>
      <c r="L154" s="15">
        <f>SUM(L155,L159:L160,L161)</f>
        <v>7712.7843899999989</v>
      </c>
      <c r="M154" s="16">
        <f t="shared" si="32"/>
        <v>93.211723459709347</v>
      </c>
      <c r="N154" s="14">
        <f>SUM(N155,N159:N160,N161)</f>
        <v>0</v>
      </c>
      <c r="O154" s="14">
        <f>SUM(O155,O159:O160,O161)</f>
        <v>0</v>
      </c>
    </row>
    <row r="155" spans="1:15" ht="32.25" thickBot="1">
      <c r="A155" s="12" t="s">
        <v>202</v>
      </c>
      <c r="B155" s="13" t="s">
        <v>58</v>
      </c>
      <c r="C155" s="13"/>
      <c r="D155" s="13" t="s">
        <v>71</v>
      </c>
      <c r="E155" s="13" t="s">
        <v>42</v>
      </c>
      <c r="F155" s="13" t="s">
        <v>204</v>
      </c>
      <c r="G155" s="13" t="s">
        <v>105</v>
      </c>
      <c r="H155" s="14">
        <f>SUM(H156:H158)</f>
        <v>8823.2999999999993</v>
      </c>
      <c r="I155" s="14">
        <f>SUM(I156:I158)</f>
        <v>-507.03528</v>
      </c>
      <c r="J155" s="14">
        <f>SUM(J156:J158)</f>
        <v>-222.84622999999999</v>
      </c>
      <c r="K155" s="15">
        <f t="shared" si="22"/>
        <v>8093.4184899999991</v>
      </c>
      <c r="L155" s="15">
        <f>SUM(L156:L158)</f>
        <v>7531.7239799999998</v>
      </c>
      <c r="M155" s="16">
        <f t="shared" si="32"/>
        <v>93.059860790665724</v>
      </c>
      <c r="N155" s="14">
        <f>SUM(N156:N158)</f>
        <v>0</v>
      </c>
      <c r="O155" s="14">
        <f>SUM(O156:O158)</f>
        <v>0</v>
      </c>
    </row>
    <row r="156" spans="1:15" ht="21.75" customHeight="1" thickBot="1">
      <c r="A156" s="12" t="s">
        <v>202</v>
      </c>
      <c r="B156" s="13">
        <v>902</v>
      </c>
      <c r="C156" s="13"/>
      <c r="D156" s="13" t="s">
        <v>71</v>
      </c>
      <c r="E156" s="13" t="s">
        <v>42</v>
      </c>
      <c r="F156" s="13">
        <v>4219900</v>
      </c>
      <c r="G156" s="13" t="s">
        <v>105</v>
      </c>
      <c r="H156" s="17">
        <f>1753+150</f>
        <v>1903</v>
      </c>
      <c r="I156" s="17"/>
      <c r="J156" s="17">
        <v>-222.84622999999999</v>
      </c>
      <c r="K156" s="15">
        <f t="shared" si="22"/>
        <v>1680.1537699999999</v>
      </c>
      <c r="L156" s="16">
        <v>1517.5033699999999</v>
      </c>
      <c r="M156" s="16">
        <f t="shared" si="32"/>
        <v>90.31931464225444</v>
      </c>
      <c r="N156" s="17"/>
      <c r="O156" s="17"/>
    </row>
    <row r="157" spans="1:15" ht="32.25" thickBot="1">
      <c r="A157" s="12" t="s">
        <v>205</v>
      </c>
      <c r="B157" s="13">
        <v>902</v>
      </c>
      <c r="C157" s="13">
        <v>904</v>
      </c>
      <c r="D157" s="13" t="s">
        <v>71</v>
      </c>
      <c r="E157" s="13" t="s">
        <v>42</v>
      </c>
      <c r="F157" s="13">
        <v>4219900</v>
      </c>
      <c r="G157" s="13" t="s">
        <v>105</v>
      </c>
      <c r="H157" s="17">
        <f>6338.2+443.1</f>
        <v>6781.3</v>
      </c>
      <c r="I157" s="17">
        <v>-492.99527999999998</v>
      </c>
      <c r="J157" s="17"/>
      <c r="K157" s="15">
        <f t="shared" si="22"/>
        <v>6288.3047200000001</v>
      </c>
      <c r="L157" s="16">
        <v>5913.9856099999997</v>
      </c>
      <c r="M157" s="16">
        <f t="shared" si="32"/>
        <v>94.04737641276391</v>
      </c>
      <c r="N157" s="17"/>
      <c r="O157" s="17"/>
    </row>
    <row r="158" spans="1:15" ht="16.5" thickBot="1">
      <c r="A158" s="12" t="s">
        <v>206</v>
      </c>
      <c r="B158" s="13">
        <v>902</v>
      </c>
      <c r="C158" s="13">
        <v>908</v>
      </c>
      <c r="D158" s="13" t="s">
        <v>71</v>
      </c>
      <c r="E158" s="13" t="s">
        <v>42</v>
      </c>
      <c r="F158" s="13">
        <v>4219900</v>
      </c>
      <c r="G158" s="13" t="s">
        <v>105</v>
      </c>
      <c r="H158" s="17">
        <v>139</v>
      </c>
      <c r="I158" s="17">
        <v>-14.04</v>
      </c>
      <c r="J158" s="17"/>
      <c r="K158" s="15">
        <f t="shared" si="22"/>
        <v>124.96000000000001</v>
      </c>
      <c r="L158" s="16">
        <v>100.235</v>
      </c>
      <c r="M158" s="16">
        <f t="shared" si="32"/>
        <v>80.213668373879628</v>
      </c>
      <c r="N158" s="17"/>
      <c r="O158" s="17"/>
    </row>
    <row r="159" spans="1:15" ht="32.25" thickBot="1">
      <c r="A159" s="12" t="s">
        <v>207</v>
      </c>
      <c r="B159" s="13" t="s">
        <v>58</v>
      </c>
      <c r="C159" s="13" t="s">
        <v>208</v>
      </c>
      <c r="D159" s="13" t="s">
        <v>71</v>
      </c>
      <c r="E159" s="13" t="s">
        <v>42</v>
      </c>
      <c r="F159" s="13" t="s">
        <v>209</v>
      </c>
      <c r="G159" s="13" t="s">
        <v>105</v>
      </c>
      <c r="H159" s="17">
        <v>52.8</v>
      </c>
      <c r="I159" s="17">
        <f>-8.98345-6.39916</f>
        <v>-15.38261</v>
      </c>
      <c r="J159" s="17"/>
      <c r="K159" s="15">
        <f t="shared" si="22"/>
        <v>37.417389999999997</v>
      </c>
      <c r="L159" s="16">
        <v>37.417389999999997</v>
      </c>
      <c r="M159" s="16">
        <f t="shared" si="32"/>
        <v>100</v>
      </c>
      <c r="N159" s="17"/>
      <c r="O159" s="17"/>
    </row>
    <row r="160" spans="1:15" ht="32.25" thickBot="1">
      <c r="A160" s="12" t="s">
        <v>210</v>
      </c>
      <c r="B160" s="13" t="s">
        <v>58</v>
      </c>
      <c r="C160" s="13"/>
      <c r="D160" s="13" t="s">
        <v>71</v>
      </c>
      <c r="E160" s="13" t="s">
        <v>42</v>
      </c>
      <c r="F160" s="13" t="s">
        <v>211</v>
      </c>
      <c r="G160" s="13" t="s">
        <v>105</v>
      </c>
      <c r="H160" s="17">
        <v>40.306899999999999</v>
      </c>
      <c r="I160" s="17"/>
      <c r="J160" s="17"/>
      <c r="K160" s="15">
        <f t="shared" si="22"/>
        <v>40.306899999999999</v>
      </c>
      <c r="L160" s="16">
        <v>40.306899999999999</v>
      </c>
      <c r="M160" s="16">
        <f t="shared" si="32"/>
        <v>100</v>
      </c>
      <c r="N160" s="17"/>
      <c r="O160" s="17"/>
    </row>
    <row r="161" spans="1:15" ht="32.25" thickBot="1">
      <c r="A161" s="12" t="s">
        <v>57</v>
      </c>
      <c r="B161" s="13" t="s">
        <v>58</v>
      </c>
      <c r="C161" s="13"/>
      <c r="D161" s="13" t="s">
        <v>71</v>
      </c>
      <c r="E161" s="13" t="s">
        <v>42</v>
      </c>
      <c r="F161" s="13" t="s">
        <v>59</v>
      </c>
      <c r="G161" s="13"/>
      <c r="H161" s="14">
        <f t="shared" ref="H161:O161" si="33">SUM(H162:H163)</f>
        <v>132.58199999999999</v>
      </c>
      <c r="I161" s="14">
        <f t="shared" si="33"/>
        <v>0</v>
      </c>
      <c r="J161" s="14">
        <f t="shared" si="33"/>
        <v>-29.24588</v>
      </c>
      <c r="K161" s="15">
        <f t="shared" si="33"/>
        <v>103.33611999999999</v>
      </c>
      <c r="L161" s="15">
        <f t="shared" si="33"/>
        <v>103.33611999999999</v>
      </c>
      <c r="M161" s="16">
        <f t="shared" si="32"/>
        <v>100</v>
      </c>
      <c r="N161" s="14">
        <f t="shared" si="33"/>
        <v>0</v>
      </c>
      <c r="O161" s="14">
        <f t="shared" si="33"/>
        <v>0</v>
      </c>
    </row>
    <row r="162" spans="1:15" ht="48" thickBot="1">
      <c r="A162" s="12" t="s">
        <v>191</v>
      </c>
      <c r="B162" s="13" t="s">
        <v>58</v>
      </c>
      <c r="C162" s="13" t="s">
        <v>212</v>
      </c>
      <c r="D162" s="13" t="s">
        <v>71</v>
      </c>
      <c r="E162" s="13" t="s">
        <v>42</v>
      </c>
      <c r="F162" s="13" t="s">
        <v>59</v>
      </c>
      <c r="G162" s="13" t="s">
        <v>105</v>
      </c>
      <c r="H162" s="17">
        <v>91</v>
      </c>
      <c r="I162" s="17"/>
      <c r="J162" s="17">
        <v>-29.24588</v>
      </c>
      <c r="K162" s="15">
        <f t="shared" si="22"/>
        <v>61.75412</v>
      </c>
      <c r="L162" s="16">
        <v>61.75412</v>
      </c>
      <c r="M162" s="16">
        <f t="shared" si="32"/>
        <v>100</v>
      </c>
      <c r="N162" s="17"/>
      <c r="O162" s="17"/>
    </row>
    <row r="163" spans="1:15" ht="48" thickBot="1">
      <c r="A163" s="12" t="s">
        <v>129</v>
      </c>
      <c r="B163" s="13" t="s">
        <v>58</v>
      </c>
      <c r="C163" s="13" t="s">
        <v>213</v>
      </c>
      <c r="D163" s="13" t="s">
        <v>71</v>
      </c>
      <c r="E163" s="13" t="s">
        <v>42</v>
      </c>
      <c r="F163" s="13" t="s">
        <v>59</v>
      </c>
      <c r="G163" s="13" t="s">
        <v>105</v>
      </c>
      <c r="H163" s="17">
        <f>24+17.582</f>
        <v>41.582000000000001</v>
      </c>
      <c r="I163" s="17"/>
      <c r="J163" s="17"/>
      <c r="K163" s="15">
        <f>SUM(H163:J163)</f>
        <v>41.582000000000001</v>
      </c>
      <c r="L163" s="16">
        <v>41.582000000000001</v>
      </c>
      <c r="M163" s="16">
        <f t="shared" si="32"/>
        <v>100</v>
      </c>
      <c r="N163" s="17"/>
      <c r="O163" s="17"/>
    </row>
    <row r="164" spans="1:15" ht="32.25" thickBot="1">
      <c r="A164" s="12" t="s">
        <v>123</v>
      </c>
      <c r="B164" s="13" t="s">
        <v>58</v>
      </c>
      <c r="C164" s="13"/>
      <c r="D164" s="13" t="s">
        <v>71</v>
      </c>
      <c r="E164" s="13" t="s">
        <v>42</v>
      </c>
      <c r="F164" s="13"/>
      <c r="G164" s="13"/>
      <c r="H164" s="18">
        <f>SUM(H165+H171+H175+H178)</f>
        <v>135142.39694999999</v>
      </c>
      <c r="I164" s="18">
        <f>SUM(I165+I171+I175+I178)</f>
        <v>1615.3178900000003</v>
      </c>
      <c r="J164" s="18">
        <f>SUM(J165+J171+J175+J178)</f>
        <v>-485.3910800000001</v>
      </c>
      <c r="K164" s="15">
        <f t="shared" ref="K164:K231" si="34">SUM(H164:J164)</f>
        <v>136272.32376</v>
      </c>
      <c r="L164" s="16">
        <f>SUM(L165+L171+L175+L178)</f>
        <v>127393.05452000001</v>
      </c>
      <c r="M164" s="16">
        <f t="shared" si="32"/>
        <v>93.484172724875535</v>
      </c>
      <c r="N164" s="18">
        <f>SUM(N165+N171+N175+N178)</f>
        <v>0</v>
      </c>
      <c r="O164" s="18">
        <f>SUM(O165+O171+O175+O178)</f>
        <v>0</v>
      </c>
    </row>
    <row r="165" spans="1:15" ht="63.75" thickBot="1">
      <c r="A165" s="12" t="s">
        <v>127</v>
      </c>
      <c r="B165" s="13">
        <v>902</v>
      </c>
      <c r="C165" s="13"/>
      <c r="D165" s="13" t="s">
        <v>71</v>
      </c>
      <c r="E165" s="13" t="s">
        <v>42</v>
      </c>
      <c r="F165" s="13"/>
      <c r="G165" s="13" t="s">
        <v>126</v>
      </c>
      <c r="H165" s="14">
        <f>SUM(H166:H170)</f>
        <v>126649.22360999999</v>
      </c>
      <c r="I165" s="14">
        <f>SUM(I166:I170)</f>
        <v>1615.3178900000003</v>
      </c>
      <c r="J165" s="14">
        <f>SUM(J166:J170)</f>
        <v>-1134.5165300000001</v>
      </c>
      <c r="K165" s="15">
        <f t="shared" si="34"/>
        <v>127130.02497</v>
      </c>
      <c r="L165" s="15">
        <f>SUM(L166:L170)</f>
        <v>118825.75573</v>
      </c>
      <c r="M165" s="16">
        <f t="shared" si="32"/>
        <v>93.467893015863382</v>
      </c>
      <c r="N165" s="14">
        <f>SUM(N166:N170)</f>
        <v>0</v>
      </c>
      <c r="O165" s="14">
        <f>SUM(O166:O170)</f>
        <v>0</v>
      </c>
    </row>
    <row r="166" spans="1:15" ht="39" customHeight="1" thickBot="1">
      <c r="A166" s="12" t="s">
        <v>214</v>
      </c>
      <c r="B166" s="13">
        <v>902</v>
      </c>
      <c r="C166" s="13"/>
      <c r="D166" s="13" t="s">
        <v>71</v>
      </c>
      <c r="E166" s="13" t="s">
        <v>42</v>
      </c>
      <c r="F166" s="13" t="s">
        <v>215</v>
      </c>
      <c r="G166" s="13" t="s">
        <v>126</v>
      </c>
      <c r="H166" s="17">
        <f>12186.2+547.45+700</f>
        <v>13433.650000000001</v>
      </c>
      <c r="I166" s="17">
        <v>2000</v>
      </c>
      <c r="J166" s="17">
        <v>-1134.5165300000001</v>
      </c>
      <c r="K166" s="15">
        <f t="shared" si="34"/>
        <v>14299.133470000001</v>
      </c>
      <c r="L166" s="16">
        <v>12275.09384</v>
      </c>
      <c r="M166" s="16">
        <f t="shared" si="32"/>
        <v>85.845018970929289</v>
      </c>
      <c r="N166" s="17"/>
      <c r="O166" s="17"/>
    </row>
    <row r="167" spans="1:15" ht="32.25" thickBot="1">
      <c r="A167" s="12" t="s">
        <v>188</v>
      </c>
      <c r="B167" s="13">
        <v>902</v>
      </c>
      <c r="C167" s="13">
        <v>903</v>
      </c>
      <c r="D167" s="13" t="s">
        <v>71</v>
      </c>
      <c r="E167" s="13" t="s">
        <v>42</v>
      </c>
      <c r="F167" s="13" t="s">
        <v>215</v>
      </c>
      <c r="G167" s="13" t="s">
        <v>126</v>
      </c>
      <c r="H167" s="17">
        <f>72.21174-19.03813</f>
        <v>53.173610000000011</v>
      </c>
      <c r="I167" s="17"/>
      <c r="J167" s="17"/>
      <c r="K167" s="15">
        <f t="shared" si="34"/>
        <v>53.173610000000011</v>
      </c>
      <c r="L167" s="16">
        <v>24.056989999999999</v>
      </c>
      <c r="M167" s="16">
        <f t="shared" si="32"/>
        <v>45.242348601119978</v>
      </c>
      <c r="N167" s="17"/>
      <c r="O167" s="17"/>
    </row>
    <row r="168" spans="1:15" ht="30" customHeight="1" thickBot="1">
      <c r="A168" s="12" t="s">
        <v>205</v>
      </c>
      <c r="B168" s="13">
        <v>902</v>
      </c>
      <c r="C168" s="13">
        <v>904</v>
      </c>
      <c r="D168" s="13" t="s">
        <v>71</v>
      </c>
      <c r="E168" s="13" t="s">
        <v>42</v>
      </c>
      <c r="F168" s="13" t="s">
        <v>215</v>
      </c>
      <c r="G168" s="13" t="s">
        <v>126</v>
      </c>
      <c r="H168" s="17">
        <f>99717.9+7048.9</f>
        <v>106766.79999999999</v>
      </c>
      <c r="I168" s="17">
        <v>492.99527999999998</v>
      </c>
      <c r="J168" s="17"/>
      <c r="K168" s="15">
        <f t="shared" si="34"/>
        <v>107259.79527999999</v>
      </c>
      <c r="L168" s="16">
        <v>101965.11439</v>
      </c>
      <c r="M168" s="16">
        <f t="shared" si="32"/>
        <v>95.063685441335863</v>
      </c>
      <c r="N168" s="17"/>
      <c r="O168" s="17"/>
    </row>
    <row r="169" spans="1:15" ht="16.5" thickBot="1">
      <c r="A169" s="12" t="s">
        <v>206</v>
      </c>
      <c r="B169" s="13">
        <v>902</v>
      </c>
      <c r="C169" s="13">
        <v>908</v>
      </c>
      <c r="D169" s="13" t="s">
        <v>71</v>
      </c>
      <c r="E169" s="13" t="s">
        <v>42</v>
      </c>
      <c r="F169" s="13" t="s">
        <v>215</v>
      </c>
      <c r="G169" s="13" t="s">
        <v>126</v>
      </c>
      <c r="H169" s="17">
        <v>4879.3999999999996</v>
      </c>
      <c r="I169" s="17">
        <f>-537.1+14.04</f>
        <v>-523.06000000000006</v>
      </c>
      <c r="J169" s="17"/>
      <c r="K169" s="15">
        <f t="shared" si="34"/>
        <v>4356.3399999999992</v>
      </c>
      <c r="L169" s="16">
        <v>3399.9079000000002</v>
      </c>
      <c r="M169" s="16">
        <f t="shared" si="32"/>
        <v>78.045053875501011</v>
      </c>
      <c r="N169" s="17"/>
      <c r="O169" s="17"/>
    </row>
    <row r="170" spans="1:15" ht="32.25" thickBot="1">
      <c r="A170" s="12" t="s">
        <v>207</v>
      </c>
      <c r="B170" s="13" t="s">
        <v>58</v>
      </c>
      <c r="C170" s="13" t="s">
        <v>208</v>
      </c>
      <c r="D170" s="13" t="s">
        <v>71</v>
      </c>
      <c r="E170" s="13" t="s">
        <v>42</v>
      </c>
      <c r="F170" s="13" t="s">
        <v>209</v>
      </c>
      <c r="G170" s="13" t="s">
        <v>126</v>
      </c>
      <c r="H170" s="17">
        <v>1516.2</v>
      </c>
      <c r="I170" s="17">
        <f>-370+15.38261</f>
        <v>-354.61739</v>
      </c>
      <c r="J170" s="17"/>
      <c r="K170" s="15">
        <f t="shared" si="34"/>
        <v>1161.5826099999999</v>
      </c>
      <c r="L170" s="16">
        <v>1161.5826099999999</v>
      </c>
      <c r="M170" s="16">
        <f t="shared" si="32"/>
        <v>100</v>
      </c>
      <c r="N170" s="17"/>
      <c r="O170" s="17"/>
    </row>
    <row r="171" spans="1:15" ht="32.25" thickBot="1">
      <c r="A171" s="12" t="s">
        <v>128</v>
      </c>
      <c r="B171" s="13">
        <v>902</v>
      </c>
      <c r="C171" s="13"/>
      <c r="D171" s="13" t="s">
        <v>71</v>
      </c>
      <c r="E171" s="13" t="s">
        <v>42</v>
      </c>
      <c r="F171" s="13"/>
      <c r="G171" s="13" t="s">
        <v>101</v>
      </c>
      <c r="H171" s="18">
        <f>SUM(H172:H174)</f>
        <v>6516.0431000000008</v>
      </c>
      <c r="I171" s="18">
        <f>SUM(I172:I174)</f>
        <v>0</v>
      </c>
      <c r="J171" s="18">
        <f>SUM(J172:J174)</f>
        <v>-9.4000000000000004E-3</v>
      </c>
      <c r="K171" s="15">
        <f t="shared" si="34"/>
        <v>6516.0337000000009</v>
      </c>
      <c r="L171" s="16">
        <f>SUM(L172:L174)</f>
        <v>6516.0337</v>
      </c>
      <c r="M171" s="16">
        <f t="shared" si="32"/>
        <v>99.999999999999986</v>
      </c>
      <c r="N171" s="18">
        <f>SUM(N172:N174)</f>
        <v>0</v>
      </c>
      <c r="O171" s="18">
        <f>SUM(O172:O174)</f>
        <v>0</v>
      </c>
    </row>
    <row r="172" spans="1:15" ht="111" hidden="1" thickBot="1">
      <c r="A172" s="12" t="s">
        <v>189</v>
      </c>
      <c r="B172" s="13">
        <v>902</v>
      </c>
      <c r="C172" s="13" t="s">
        <v>190</v>
      </c>
      <c r="D172" s="13" t="s">
        <v>71</v>
      </c>
      <c r="E172" s="13" t="s">
        <v>42</v>
      </c>
      <c r="F172" s="13" t="s">
        <v>215</v>
      </c>
      <c r="G172" s="13" t="s">
        <v>101</v>
      </c>
      <c r="H172" s="17">
        <v>0</v>
      </c>
      <c r="I172" s="17"/>
      <c r="J172" s="17"/>
      <c r="K172" s="15">
        <f t="shared" si="34"/>
        <v>0</v>
      </c>
      <c r="L172" s="16">
        <v>0</v>
      </c>
      <c r="M172" s="16" t="e">
        <f t="shared" si="32"/>
        <v>#DIV/0!</v>
      </c>
      <c r="N172" s="17"/>
      <c r="O172" s="17"/>
    </row>
    <row r="173" spans="1:15" ht="63.75" thickBot="1">
      <c r="A173" s="12" t="s">
        <v>216</v>
      </c>
      <c r="B173" s="13" t="s">
        <v>58</v>
      </c>
      <c r="C173" s="13" t="s">
        <v>217</v>
      </c>
      <c r="D173" s="13" t="s">
        <v>71</v>
      </c>
      <c r="E173" s="13" t="s">
        <v>42</v>
      </c>
      <c r="F173" s="13" t="s">
        <v>211</v>
      </c>
      <c r="G173" s="13" t="s">
        <v>101</v>
      </c>
      <c r="H173" s="23">
        <f>327+16.35</f>
        <v>343.35</v>
      </c>
      <c r="I173" s="23"/>
      <c r="J173" s="23">
        <v>-9.4000000000000004E-3</v>
      </c>
      <c r="K173" s="15">
        <f>SUM(H173:J173)</f>
        <v>343.34059999999999</v>
      </c>
      <c r="L173" s="16">
        <v>343.34059999999999</v>
      </c>
      <c r="M173" s="16">
        <f t="shared" si="32"/>
        <v>100</v>
      </c>
      <c r="N173" s="23"/>
      <c r="O173" s="23"/>
    </row>
    <row r="174" spans="1:15" ht="48" thickBot="1">
      <c r="A174" s="12" t="s">
        <v>218</v>
      </c>
      <c r="B174" s="13" t="s">
        <v>58</v>
      </c>
      <c r="C174" s="13" t="s">
        <v>219</v>
      </c>
      <c r="D174" s="13" t="s">
        <v>71</v>
      </c>
      <c r="E174" s="13" t="s">
        <v>42</v>
      </c>
      <c r="F174" s="13" t="s">
        <v>211</v>
      </c>
      <c r="G174" s="13" t="s">
        <v>101</v>
      </c>
      <c r="H174" s="17">
        <v>6172.6931000000004</v>
      </c>
      <c r="I174" s="17"/>
      <c r="J174" s="17"/>
      <c r="K174" s="15">
        <f t="shared" si="34"/>
        <v>6172.6931000000004</v>
      </c>
      <c r="L174" s="16">
        <v>6172.6931000000004</v>
      </c>
      <c r="M174" s="16">
        <f t="shared" si="32"/>
        <v>100</v>
      </c>
      <c r="N174" s="17"/>
      <c r="O174" s="17"/>
    </row>
    <row r="175" spans="1:15" ht="32.25" thickBot="1">
      <c r="A175" s="12" t="s">
        <v>57</v>
      </c>
      <c r="B175" s="13" t="s">
        <v>58</v>
      </c>
      <c r="C175" s="13"/>
      <c r="D175" s="13" t="s">
        <v>71</v>
      </c>
      <c r="E175" s="13" t="s">
        <v>42</v>
      </c>
      <c r="F175" s="13" t="s">
        <v>59</v>
      </c>
      <c r="G175" s="13"/>
      <c r="H175" s="14">
        <f>SUM(H176:H177)</f>
        <v>1965.4419799999998</v>
      </c>
      <c r="I175" s="14">
        <f>SUM(I176:I177)</f>
        <v>0</v>
      </c>
      <c r="J175" s="14">
        <f>SUM(J176:J177)</f>
        <v>649.13484999999991</v>
      </c>
      <c r="K175" s="15">
        <f t="shared" si="34"/>
        <v>2614.57683</v>
      </c>
      <c r="L175" s="15">
        <f>SUM(L176:L177)</f>
        <v>2039.57683</v>
      </c>
      <c r="M175" s="16">
        <f t="shared" si="32"/>
        <v>78.007913425898451</v>
      </c>
      <c r="N175" s="14">
        <f>SUM(N176:N177)</f>
        <v>0</v>
      </c>
      <c r="O175" s="14">
        <f>SUM(O176:O177)</f>
        <v>0</v>
      </c>
    </row>
    <row r="176" spans="1:15" ht="48" thickBot="1">
      <c r="A176" s="12" t="s">
        <v>191</v>
      </c>
      <c r="B176" s="13" t="s">
        <v>58</v>
      </c>
      <c r="C176" s="13" t="s">
        <v>192</v>
      </c>
      <c r="D176" s="13" t="s">
        <v>71</v>
      </c>
      <c r="E176" s="13" t="s">
        <v>42</v>
      </c>
      <c r="F176" s="13" t="s">
        <v>59</v>
      </c>
      <c r="G176" s="13" t="s">
        <v>101</v>
      </c>
      <c r="H176" s="17">
        <v>650.70000000000005</v>
      </c>
      <c r="I176" s="17"/>
      <c r="J176" s="17">
        <f>44.90497+29.24588</f>
        <v>74.150849999999991</v>
      </c>
      <c r="K176" s="15">
        <f t="shared" si="34"/>
        <v>724.85085000000004</v>
      </c>
      <c r="L176" s="16">
        <v>724.85085000000004</v>
      </c>
      <c r="M176" s="16">
        <f t="shared" si="32"/>
        <v>100</v>
      </c>
      <c r="N176" s="17"/>
      <c r="O176" s="17"/>
    </row>
    <row r="177" spans="1:15" ht="48" thickBot="1">
      <c r="A177" s="12" t="s">
        <v>129</v>
      </c>
      <c r="B177" s="13">
        <v>902</v>
      </c>
      <c r="C177" s="13" t="s">
        <v>113</v>
      </c>
      <c r="D177" s="13" t="s">
        <v>71</v>
      </c>
      <c r="E177" s="13" t="s">
        <v>42</v>
      </c>
      <c r="F177" s="13" t="s">
        <v>59</v>
      </c>
      <c r="G177" s="13" t="s">
        <v>101</v>
      </c>
      <c r="H177" s="17">
        <f>2402.993-320-768.25102</f>
        <v>1314.7419799999998</v>
      </c>
      <c r="I177" s="17"/>
      <c r="J177" s="17">
        <f>-0.016+280+295</f>
        <v>574.98399999999992</v>
      </c>
      <c r="K177" s="15">
        <f t="shared" si="34"/>
        <v>1889.7259799999997</v>
      </c>
      <c r="L177" s="16">
        <f>1314.74198-0.016</f>
        <v>1314.7259799999999</v>
      </c>
      <c r="M177" s="16">
        <f t="shared" si="32"/>
        <v>69.572308044365244</v>
      </c>
      <c r="N177" s="17"/>
      <c r="O177" s="17"/>
    </row>
    <row r="178" spans="1:15" ht="32.25" thickBot="1">
      <c r="A178" s="12" t="s">
        <v>188</v>
      </c>
      <c r="B178" s="13">
        <v>902</v>
      </c>
      <c r="C178" s="13">
        <v>903</v>
      </c>
      <c r="D178" s="13" t="s">
        <v>71</v>
      </c>
      <c r="E178" s="13" t="s">
        <v>42</v>
      </c>
      <c r="F178" s="13" t="s">
        <v>215</v>
      </c>
      <c r="G178" s="13" t="s">
        <v>194</v>
      </c>
      <c r="H178" s="17">
        <v>11.68826</v>
      </c>
      <c r="I178" s="17"/>
      <c r="J178" s="17"/>
      <c r="K178" s="15">
        <f t="shared" si="34"/>
        <v>11.68826</v>
      </c>
      <c r="L178" s="16">
        <v>11.68826</v>
      </c>
      <c r="M178" s="16">
        <f t="shared" si="32"/>
        <v>100</v>
      </c>
      <c r="N178" s="17"/>
      <c r="O178" s="17"/>
    </row>
    <row r="179" spans="1:15" ht="22.5" customHeight="1" thickBot="1">
      <c r="A179" s="12" t="s">
        <v>220</v>
      </c>
      <c r="B179" s="13">
        <v>902</v>
      </c>
      <c r="C179" s="13"/>
      <c r="D179" s="13" t="s">
        <v>71</v>
      </c>
      <c r="E179" s="13" t="s">
        <v>42</v>
      </c>
      <c r="F179" s="13">
        <v>4230000</v>
      </c>
      <c r="G179" s="13"/>
      <c r="H179" s="14">
        <f t="shared" ref="H179:O179" si="35">SUM(H180+H184)</f>
        <v>6034.3694800000003</v>
      </c>
      <c r="I179" s="14">
        <f t="shared" si="35"/>
        <v>500</v>
      </c>
      <c r="J179" s="14">
        <f t="shared" si="35"/>
        <v>-104.94268</v>
      </c>
      <c r="K179" s="15">
        <f t="shared" si="35"/>
        <v>6429.4268000000002</v>
      </c>
      <c r="L179" s="15">
        <f t="shared" si="35"/>
        <v>5404.3849100000007</v>
      </c>
      <c r="M179" s="16">
        <f t="shared" si="32"/>
        <v>84.057025270122068</v>
      </c>
      <c r="N179" s="14">
        <f t="shared" si="35"/>
        <v>0</v>
      </c>
      <c r="O179" s="14">
        <f t="shared" si="35"/>
        <v>0</v>
      </c>
    </row>
    <row r="180" spans="1:15" ht="32.25" thickBot="1">
      <c r="A180" s="12" t="s">
        <v>123</v>
      </c>
      <c r="B180" s="13">
        <v>902</v>
      </c>
      <c r="C180" s="13"/>
      <c r="D180" s="13" t="s">
        <v>71</v>
      </c>
      <c r="E180" s="13" t="s">
        <v>42</v>
      </c>
      <c r="F180" s="13" t="s">
        <v>221</v>
      </c>
      <c r="G180" s="13"/>
      <c r="H180" s="14">
        <f t="shared" ref="H180:O180" si="36">SUM(H181:H183)</f>
        <v>6001.0381299999999</v>
      </c>
      <c r="I180" s="14">
        <f t="shared" si="36"/>
        <v>500</v>
      </c>
      <c r="J180" s="14">
        <f t="shared" si="36"/>
        <v>-104.94268</v>
      </c>
      <c r="K180" s="15">
        <f t="shared" si="36"/>
        <v>6396.0954499999998</v>
      </c>
      <c r="L180" s="15">
        <f t="shared" si="36"/>
        <v>5371.0535600000003</v>
      </c>
      <c r="M180" s="16">
        <f t="shared" si="32"/>
        <v>83.97394319686083</v>
      </c>
      <c r="N180" s="14">
        <f t="shared" si="36"/>
        <v>0</v>
      </c>
      <c r="O180" s="14">
        <f t="shared" si="36"/>
        <v>0</v>
      </c>
    </row>
    <row r="181" spans="1:15" ht="63.75" thickBot="1">
      <c r="A181" s="12" t="s">
        <v>222</v>
      </c>
      <c r="B181" s="13">
        <v>902</v>
      </c>
      <c r="C181" s="13"/>
      <c r="D181" s="13" t="s">
        <v>71</v>
      </c>
      <c r="E181" s="13" t="s">
        <v>42</v>
      </c>
      <c r="F181" s="13" t="s">
        <v>221</v>
      </c>
      <c r="G181" s="13" t="s">
        <v>126</v>
      </c>
      <c r="H181" s="17">
        <f>2953+94</f>
        <v>3047</v>
      </c>
      <c r="I181" s="17">
        <v>392.95863000000003</v>
      </c>
      <c r="J181" s="17"/>
      <c r="K181" s="15">
        <f t="shared" si="34"/>
        <v>3439.9586300000001</v>
      </c>
      <c r="L181" s="16">
        <f>3047-154.28499</f>
        <v>2892.7150099999999</v>
      </c>
      <c r="M181" s="16">
        <f t="shared" si="32"/>
        <v>84.091563915116026</v>
      </c>
      <c r="N181" s="17"/>
      <c r="O181" s="17"/>
    </row>
    <row r="182" spans="1:15" ht="63.75" thickBot="1">
      <c r="A182" s="12" t="s">
        <v>223</v>
      </c>
      <c r="B182" s="13">
        <v>902</v>
      </c>
      <c r="C182" s="13"/>
      <c r="D182" s="13" t="s">
        <v>71</v>
      </c>
      <c r="E182" s="13" t="s">
        <v>42</v>
      </c>
      <c r="F182" s="13" t="s">
        <v>221</v>
      </c>
      <c r="G182" s="13" t="s">
        <v>126</v>
      </c>
      <c r="H182" s="17">
        <v>2935</v>
      </c>
      <c r="I182" s="17">
        <v>107.04137</v>
      </c>
      <c r="J182" s="17">
        <f>2.09869-107.04137</f>
        <v>-104.94268</v>
      </c>
      <c r="K182" s="15">
        <f t="shared" si="34"/>
        <v>2937.0986899999998</v>
      </c>
      <c r="L182" s="16">
        <f>2935-475.40118</f>
        <v>2459.5988200000002</v>
      </c>
      <c r="M182" s="16">
        <f t="shared" si="32"/>
        <v>83.742464234322355</v>
      </c>
      <c r="N182" s="17"/>
      <c r="O182" s="17"/>
    </row>
    <row r="183" spans="1:15" ht="32.25" thickBot="1">
      <c r="A183" s="12" t="s">
        <v>188</v>
      </c>
      <c r="B183" s="13" t="s">
        <v>58</v>
      </c>
      <c r="C183" s="13" t="s">
        <v>224</v>
      </c>
      <c r="D183" s="13" t="s">
        <v>71</v>
      </c>
      <c r="E183" s="13" t="s">
        <v>42</v>
      </c>
      <c r="F183" s="13" t="s">
        <v>221</v>
      </c>
      <c r="G183" s="13" t="s">
        <v>126</v>
      </c>
      <c r="H183" s="17">
        <v>19.038129999999999</v>
      </c>
      <c r="I183" s="17"/>
      <c r="J183" s="17"/>
      <c r="K183" s="15">
        <f>SUM(H183:J183)</f>
        <v>19.038129999999999</v>
      </c>
      <c r="L183" s="16">
        <v>18.739730000000002</v>
      </c>
      <c r="M183" s="16">
        <f t="shared" si="32"/>
        <v>98.432619170055062</v>
      </c>
      <c r="N183" s="17"/>
      <c r="O183" s="17"/>
    </row>
    <row r="184" spans="1:15" ht="48" thickBot="1">
      <c r="A184" s="12" t="s">
        <v>129</v>
      </c>
      <c r="B184" s="13">
        <v>902</v>
      </c>
      <c r="C184" s="13" t="s">
        <v>113</v>
      </c>
      <c r="D184" s="13" t="s">
        <v>71</v>
      </c>
      <c r="E184" s="13" t="s">
        <v>42</v>
      </c>
      <c r="F184" s="13" t="s">
        <v>59</v>
      </c>
      <c r="G184" s="13" t="s">
        <v>101</v>
      </c>
      <c r="H184" s="17">
        <v>33.33135</v>
      </c>
      <c r="I184" s="17"/>
      <c r="J184" s="17"/>
      <c r="K184" s="15">
        <f t="shared" si="34"/>
        <v>33.33135</v>
      </c>
      <c r="L184" s="16">
        <v>33.33135</v>
      </c>
      <c r="M184" s="16">
        <f t="shared" si="32"/>
        <v>100</v>
      </c>
      <c r="N184" s="17"/>
      <c r="O184" s="17"/>
    </row>
    <row r="185" spans="1:15" ht="16.5" thickBot="1">
      <c r="A185" s="12" t="s">
        <v>225</v>
      </c>
      <c r="B185" s="13">
        <v>902</v>
      </c>
      <c r="C185" s="13"/>
      <c r="D185" s="13" t="s">
        <v>71</v>
      </c>
      <c r="E185" s="13" t="s">
        <v>71</v>
      </c>
      <c r="F185" s="13"/>
      <c r="G185" s="13"/>
      <c r="H185" s="14">
        <f t="shared" ref="H185:O185" si="37">SUM(H186+H190+H194+H200+H201)</f>
        <v>7856.8000000000011</v>
      </c>
      <c r="I185" s="14">
        <f t="shared" si="37"/>
        <v>0</v>
      </c>
      <c r="J185" s="14">
        <f t="shared" si="37"/>
        <v>-106.1153</v>
      </c>
      <c r="K185" s="15">
        <f t="shared" si="37"/>
        <v>7750.6847000000007</v>
      </c>
      <c r="L185" s="15">
        <f t="shared" si="37"/>
        <v>7651.4168299999992</v>
      </c>
      <c r="M185" s="16">
        <f t="shared" si="32"/>
        <v>98.719237411373456</v>
      </c>
      <c r="N185" s="14">
        <f t="shared" si="37"/>
        <v>0</v>
      </c>
      <c r="O185" s="14">
        <f t="shared" si="37"/>
        <v>0</v>
      </c>
    </row>
    <row r="186" spans="1:15" ht="32.25" thickBot="1">
      <c r="A186" s="12" t="s">
        <v>226</v>
      </c>
      <c r="B186" s="13">
        <v>902</v>
      </c>
      <c r="C186" s="13"/>
      <c r="D186" s="13" t="s">
        <v>71</v>
      </c>
      <c r="E186" s="13" t="s">
        <v>71</v>
      </c>
      <c r="F186" s="13" t="s">
        <v>227</v>
      </c>
      <c r="G186" s="13"/>
      <c r="H186" s="14">
        <f t="shared" ref="H186:O186" si="38">SUM(H187)</f>
        <v>3546.1000000000004</v>
      </c>
      <c r="I186" s="14">
        <f t="shared" si="38"/>
        <v>0</v>
      </c>
      <c r="J186" s="14">
        <f t="shared" si="38"/>
        <v>-106.0553</v>
      </c>
      <c r="K186" s="15">
        <f t="shared" si="38"/>
        <v>3440.0447000000004</v>
      </c>
      <c r="L186" s="15">
        <f t="shared" si="38"/>
        <v>3340.7768299999998</v>
      </c>
      <c r="M186" s="16">
        <f t="shared" si="32"/>
        <v>97.114343601407256</v>
      </c>
      <c r="N186" s="14">
        <f t="shared" si="38"/>
        <v>0</v>
      </c>
      <c r="O186" s="14">
        <f t="shared" si="38"/>
        <v>0</v>
      </c>
    </row>
    <row r="187" spans="1:15" ht="32.25" thickBot="1">
      <c r="A187" s="12" t="s">
        <v>123</v>
      </c>
      <c r="B187" s="13">
        <v>902</v>
      </c>
      <c r="C187" s="13"/>
      <c r="D187" s="13" t="s">
        <v>71</v>
      </c>
      <c r="E187" s="13" t="s">
        <v>71</v>
      </c>
      <c r="F187" s="13" t="s">
        <v>228</v>
      </c>
      <c r="G187" s="13"/>
      <c r="H187" s="14">
        <f t="shared" ref="H187:O187" si="39">SUM(H188:H189)</f>
        <v>3546.1000000000004</v>
      </c>
      <c r="I187" s="14">
        <f t="shared" si="39"/>
        <v>0</v>
      </c>
      <c r="J187" s="14">
        <f t="shared" si="39"/>
        <v>-106.0553</v>
      </c>
      <c r="K187" s="15">
        <f t="shared" si="39"/>
        <v>3440.0447000000004</v>
      </c>
      <c r="L187" s="15">
        <f t="shared" si="39"/>
        <v>3340.7768299999998</v>
      </c>
      <c r="M187" s="16">
        <f t="shared" si="32"/>
        <v>97.114343601407256</v>
      </c>
      <c r="N187" s="14">
        <f t="shared" si="39"/>
        <v>0</v>
      </c>
      <c r="O187" s="14">
        <f t="shared" si="39"/>
        <v>0</v>
      </c>
    </row>
    <row r="188" spans="1:15" ht="51" customHeight="1" thickBot="1">
      <c r="A188" s="12" t="s">
        <v>229</v>
      </c>
      <c r="B188" s="13">
        <v>902</v>
      </c>
      <c r="C188" s="13"/>
      <c r="D188" s="13" t="s">
        <v>71</v>
      </c>
      <c r="E188" s="13" t="s">
        <v>71</v>
      </c>
      <c r="F188" s="13" t="s">
        <v>228</v>
      </c>
      <c r="G188" s="13" t="s">
        <v>126</v>
      </c>
      <c r="H188" s="17">
        <f>3444.8+101.3</f>
        <v>3546.1000000000004</v>
      </c>
      <c r="I188" s="17"/>
      <c r="J188" s="17">
        <v>-106.0553</v>
      </c>
      <c r="K188" s="15">
        <f t="shared" si="34"/>
        <v>3440.0447000000004</v>
      </c>
      <c r="L188" s="16">
        <f>3546.1-205.32317</f>
        <v>3340.7768299999998</v>
      </c>
      <c r="M188" s="16">
        <f t="shared" si="32"/>
        <v>97.114343601407256</v>
      </c>
      <c r="N188" s="17"/>
      <c r="O188" s="17"/>
    </row>
    <row r="189" spans="1:15" ht="32.25" hidden="1" thickBot="1">
      <c r="A189" s="12" t="s">
        <v>128</v>
      </c>
      <c r="B189" s="13">
        <v>902</v>
      </c>
      <c r="C189" s="13"/>
      <c r="D189" s="13" t="s">
        <v>71</v>
      </c>
      <c r="E189" s="13" t="s">
        <v>71</v>
      </c>
      <c r="F189" s="13" t="s">
        <v>228</v>
      </c>
      <c r="G189" s="13" t="s">
        <v>101</v>
      </c>
      <c r="H189" s="17">
        <v>0</v>
      </c>
      <c r="I189" s="17"/>
      <c r="J189" s="17"/>
      <c r="K189" s="15">
        <f t="shared" si="34"/>
        <v>0</v>
      </c>
      <c r="L189" s="16">
        <v>0</v>
      </c>
      <c r="M189" s="16" t="e">
        <f t="shared" si="32"/>
        <v>#DIV/0!</v>
      </c>
      <c r="N189" s="17"/>
      <c r="O189" s="17"/>
    </row>
    <row r="190" spans="1:15" ht="32.25" thickBot="1">
      <c r="A190" s="12" t="s">
        <v>230</v>
      </c>
      <c r="B190" s="13">
        <v>902</v>
      </c>
      <c r="C190" s="13"/>
      <c r="D190" s="13" t="s">
        <v>71</v>
      </c>
      <c r="E190" s="13" t="s">
        <v>71</v>
      </c>
      <c r="F190" s="13" t="s">
        <v>231</v>
      </c>
      <c r="G190" s="13"/>
      <c r="H190" s="14">
        <f t="shared" ref="H190:O190" si="40">SUM(H191)</f>
        <v>2340</v>
      </c>
      <c r="I190" s="14">
        <f t="shared" si="40"/>
        <v>0</v>
      </c>
      <c r="J190" s="14">
        <f t="shared" si="40"/>
        <v>0</v>
      </c>
      <c r="K190" s="15">
        <f t="shared" si="40"/>
        <v>2340</v>
      </c>
      <c r="L190" s="15">
        <f t="shared" si="40"/>
        <v>2340</v>
      </c>
      <c r="M190" s="16">
        <f t="shared" si="32"/>
        <v>100</v>
      </c>
      <c r="N190" s="14">
        <f t="shared" si="40"/>
        <v>0</v>
      </c>
      <c r="O190" s="14">
        <f t="shared" si="40"/>
        <v>0</v>
      </c>
    </row>
    <row r="191" spans="1:15" ht="69.75" customHeight="1" thickBot="1">
      <c r="A191" s="12" t="s">
        <v>232</v>
      </c>
      <c r="B191" s="13">
        <v>902</v>
      </c>
      <c r="C191" s="13"/>
      <c r="D191" s="13" t="s">
        <v>71</v>
      </c>
      <c r="E191" s="13" t="s">
        <v>71</v>
      </c>
      <c r="F191" s="13" t="s">
        <v>231</v>
      </c>
      <c r="G191" s="13" t="s">
        <v>126</v>
      </c>
      <c r="H191" s="14">
        <f t="shared" ref="H191:O191" si="41">SUM(H192+H193)</f>
        <v>2340</v>
      </c>
      <c r="I191" s="14">
        <f t="shared" si="41"/>
        <v>0</v>
      </c>
      <c r="J191" s="14">
        <f t="shared" si="41"/>
        <v>0</v>
      </c>
      <c r="K191" s="15">
        <f t="shared" si="41"/>
        <v>2340</v>
      </c>
      <c r="L191" s="15">
        <f t="shared" si="41"/>
        <v>2340</v>
      </c>
      <c r="M191" s="16">
        <f t="shared" si="32"/>
        <v>100</v>
      </c>
      <c r="N191" s="14">
        <f t="shared" si="41"/>
        <v>0</v>
      </c>
      <c r="O191" s="14">
        <f t="shared" si="41"/>
        <v>0</v>
      </c>
    </row>
    <row r="192" spans="1:15" ht="40.5" customHeight="1" thickBot="1">
      <c r="A192" s="12" t="s">
        <v>214</v>
      </c>
      <c r="B192" s="13">
        <v>902</v>
      </c>
      <c r="C192" s="13"/>
      <c r="D192" s="13" t="s">
        <v>71</v>
      </c>
      <c r="E192" s="13" t="s">
        <v>71</v>
      </c>
      <c r="F192" s="13" t="s">
        <v>233</v>
      </c>
      <c r="G192" s="13" t="s">
        <v>126</v>
      </c>
      <c r="H192" s="17">
        <v>1562.5</v>
      </c>
      <c r="I192" s="17"/>
      <c r="J192" s="17"/>
      <c r="K192" s="15">
        <f t="shared" si="34"/>
        <v>1562.5</v>
      </c>
      <c r="L192" s="16">
        <v>1562.5</v>
      </c>
      <c r="M192" s="16">
        <f t="shared" si="32"/>
        <v>100</v>
      </c>
      <c r="N192" s="17"/>
      <c r="O192" s="17"/>
    </row>
    <row r="193" spans="1:15" ht="51" customHeight="1" thickBot="1">
      <c r="A193" s="12" t="s">
        <v>234</v>
      </c>
      <c r="B193" s="13" t="s">
        <v>58</v>
      </c>
      <c r="C193" s="13"/>
      <c r="D193" s="13" t="s">
        <v>71</v>
      </c>
      <c r="E193" s="13" t="s">
        <v>71</v>
      </c>
      <c r="F193" s="13" t="s">
        <v>235</v>
      </c>
      <c r="G193" s="13" t="s">
        <v>126</v>
      </c>
      <c r="H193" s="17">
        <v>777.5</v>
      </c>
      <c r="I193" s="17"/>
      <c r="J193" s="17"/>
      <c r="K193" s="15">
        <f t="shared" si="34"/>
        <v>777.5</v>
      </c>
      <c r="L193" s="16">
        <v>777.5</v>
      </c>
      <c r="M193" s="16">
        <f t="shared" si="32"/>
        <v>100</v>
      </c>
      <c r="N193" s="17"/>
      <c r="O193" s="17"/>
    </row>
    <row r="194" spans="1:15" ht="26.25" customHeight="1" thickBot="1">
      <c r="A194" s="12" t="s">
        <v>57</v>
      </c>
      <c r="B194" s="13">
        <v>902</v>
      </c>
      <c r="C194" s="13"/>
      <c r="D194" s="13" t="s">
        <v>71</v>
      </c>
      <c r="E194" s="13" t="s">
        <v>71</v>
      </c>
      <c r="F194" s="13">
        <v>7950000</v>
      </c>
      <c r="G194" s="13"/>
      <c r="H194" s="14">
        <f t="shared" ref="H194:O194" si="42">SUM(H195:H199)</f>
        <v>720</v>
      </c>
      <c r="I194" s="14">
        <f t="shared" si="42"/>
        <v>0</v>
      </c>
      <c r="J194" s="14">
        <f t="shared" si="42"/>
        <v>0</v>
      </c>
      <c r="K194" s="15">
        <f t="shared" si="42"/>
        <v>720</v>
      </c>
      <c r="L194" s="15">
        <f t="shared" si="42"/>
        <v>720</v>
      </c>
      <c r="M194" s="16">
        <f t="shared" si="32"/>
        <v>100</v>
      </c>
      <c r="N194" s="14">
        <f t="shared" si="42"/>
        <v>0</v>
      </c>
      <c r="O194" s="14">
        <f t="shared" si="42"/>
        <v>0</v>
      </c>
    </row>
    <row r="195" spans="1:15" ht="48" thickBot="1">
      <c r="A195" s="12" t="s">
        <v>236</v>
      </c>
      <c r="B195" s="13">
        <v>902</v>
      </c>
      <c r="C195" s="13" t="s">
        <v>237</v>
      </c>
      <c r="D195" s="13" t="s">
        <v>71</v>
      </c>
      <c r="E195" s="13" t="s">
        <v>71</v>
      </c>
      <c r="F195" s="13">
        <v>7950000</v>
      </c>
      <c r="G195" s="13" t="s">
        <v>30</v>
      </c>
      <c r="H195" s="17">
        <v>50</v>
      </c>
      <c r="I195" s="17"/>
      <c r="J195" s="17"/>
      <c r="K195" s="15">
        <f t="shared" si="34"/>
        <v>50</v>
      </c>
      <c r="L195" s="16">
        <v>50</v>
      </c>
      <c r="M195" s="16">
        <f t="shared" si="32"/>
        <v>100</v>
      </c>
      <c r="N195" s="17"/>
      <c r="O195" s="17"/>
    </row>
    <row r="196" spans="1:15" ht="63.75" thickBot="1">
      <c r="A196" s="12" t="s">
        <v>238</v>
      </c>
      <c r="B196" s="13">
        <v>902</v>
      </c>
      <c r="C196" s="13" t="s">
        <v>239</v>
      </c>
      <c r="D196" s="13" t="s">
        <v>71</v>
      </c>
      <c r="E196" s="13" t="s">
        <v>71</v>
      </c>
      <c r="F196" s="13">
        <v>7950000</v>
      </c>
      <c r="G196" s="13" t="s">
        <v>30</v>
      </c>
      <c r="H196" s="17">
        <v>360</v>
      </c>
      <c r="I196" s="17"/>
      <c r="J196" s="17"/>
      <c r="K196" s="15">
        <f t="shared" si="34"/>
        <v>360</v>
      </c>
      <c r="L196" s="16">
        <v>360</v>
      </c>
      <c r="M196" s="16">
        <f t="shared" si="32"/>
        <v>100</v>
      </c>
      <c r="N196" s="17"/>
      <c r="O196" s="17"/>
    </row>
    <row r="197" spans="1:15" ht="95.25" thickBot="1">
      <c r="A197" s="24" t="s">
        <v>240</v>
      </c>
      <c r="B197" s="13">
        <v>902</v>
      </c>
      <c r="C197" s="13" t="s">
        <v>241</v>
      </c>
      <c r="D197" s="13" t="s">
        <v>71</v>
      </c>
      <c r="E197" s="13" t="s">
        <v>71</v>
      </c>
      <c r="F197" s="13">
        <v>7950000</v>
      </c>
      <c r="G197" s="13" t="s">
        <v>30</v>
      </c>
      <c r="H197" s="17">
        <v>100</v>
      </c>
      <c r="I197" s="17"/>
      <c r="J197" s="17"/>
      <c r="K197" s="15">
        <f t="shared" si="34"/>
        <v>100</v>
      </c>
      <c r="L197" s="16">
        <v>100</v>
      </c>
      <c r="M197" s="16">
        <f t="shared" si="32"/>
        <v>100</v>
      </c>
      <c r="N197" s="17"/>
      <c r="O197" s="17"/>
    </row>
    <row r="198" spans="1:15" ht="63.75" thickBot="1">
      <c r="A198" s="12" t="s">
        <v>242</v>
      </c>
      <c r="B198" s="13" t="s">
        <v>58</v>
      </c>
      <c r="C198" s="13" t="s">
        <v>243</v>
      </c>
      <c r="D198" s="13" t="s">
        <v>71</v>
      </c>
      <c r="E198" s="13" t="s">
        <v>71</v>
      </c>
      <c r="F198" s="13" t="s">
        <v>59</v>
      </c>
      <c r="G198" s="13" t="s">
        <v>101</v>
      </c>
      <c r="H198" s="17">
        <v>60</v>
      </c>
      <c r="I198" s="17"/>
      <c r="J198" s="17"/>
      <c r="K198" s="15">
        <f t="shared" si="34"/>
        <v>60</v>
      </c>
      <c r="L198" s="16">
        <v>60</v>
      </c>
      <c r="M198" s="16">
        <f t="shared" si="32"/>
        <v>100</v>
      </c>
      <c r="N198" s="17"/>
      <c r="O198" s="17"/>
    </row>
    <row r="199" spans="1:15" ht="63.75" thickBot="1">
      <c r="A199" s="12" t="s">
        <v>242</v>
      </c>
      <c r="B199" s="13" t="s">
        <v>58</v>
      </c>
      <c r="C199" s="13" t="s">
        <v>244</v>
      </c>
      <c r="D199" s="13" t="s">
        <v>71</v>
      </c>
      <c r="E199" s="13" t="s">
        <v>71</v>
      </c>
      <c r="F199" s="13" t="s">
        <v>59</v>
      </c>
      <c r="G199" s="13" t="s">
        <v>30</v>
      </c>
      <c r="H199" s="17">
        <v>150</v>
      </c>
      <c r="I199" s="17"/>
      <c r="J199" s="17"/>
      <c r="K199" s="15">
        <f>SUM(H199:J199)</f>
        <v>150</v>
      </c>
      <c r="L199" s="16">
        <v>150</v>
      </c>
      <c r="M199" s="16">
        <f t="shared" si="32"/>
        <v>100</v>
      </c>
      <c r="N199" s="17"/>
      <c r="O199" s="17"/>
    </row>
    <row r="200" spans="1:15" ht="46.5" customHeight="1" thickBot="1">
      <c r="A200" s="12" t="s">
        <v>245</v>
      </c>
      <c r="B200" s="13" t="s">
        <v>58</v>
      </c>
      <c r="C200" s="13" t="s">
        <v>246</v>
      </c>
      <c r="D200" s="13" t="s">
        <v>71</v>
      </c>
      <c r="E200" s="13" t="s">
        <v>71</v>
      </c>
      <c r="F200" s="13" t="s">
        <v>247</v>
      </c>
      <c r="G200" s="13" t="s">
        <v>101</v>
      </c>
      <c r="H200" s="17">
        <v>1190.5999999999999</v>
      </c>
      <c r="I200" s="17"/>
      <c r="J200" s="17"/>
      <c r="K200" s="15">
        <f t="shared" si="34"/>
        <v>1190.5999999999999</v>
      </c>
      <c r="L200" s="16">
        <v>1190.5999999999999</v>
      </c>
      <c r="M200" s="16">
        <f t="shared" si="32"/>
        <v>100</v>
      </c>
      <c r="N200" s="17"/>
      <c r="O200" s="17"/>
    </row>
    <row r="201" spans="1:15" ht="32.25" thickBot="1">
      <c r="A201" s="12" t="s">
        <v>248</v>
      </c>
      <c r="B201" s="13" t="s">
        <v>58</v>
      </c>
      <c r="C201" s="13" t="s">
        <v>246</v>
      </c>
      <c r="D201" s="13" t="s">
        <v>71</v>
      </c>
      <c r="E201" s="13" t="s">
        <v>71</v>
      </c>
      <c r="F201" s="13" t="s">
        <v>247</v>
      </c>
      <c r="G201" s="13" t="s">
        <v>101</v>
      </c>
      <c r="H201" s="17">
        <v>60.1</v>
      </c>
      <c r="I201" s="17"/>
      <c r="J201" s="17">
        <f>-0.06</f>
        <v>-0.06</v>
      </c>
      <c r="K201" s="15">
        <f t="shared" si="34"/>
        <v>60.04</v>
      </c>
      <c r="L201" s="16">
        <v>60.04</v>
      </c>
      <c r="M201" s="16">
        <f t="shared" si="32"/>
        <v>100</v>
      </c>
      <c r="N201" s="17"/>
      <c r="O201" s="17"/>
    </row>
    <row r="202" spans="1:15" ht="16.5" thickBot="1">
      <c r="A202" s="12" t="s">
        <v>249</v>
      </c>
      <c r="B202" s="13">
        <v>902</v>
      </c>
      <c r="C202" s="13"/>
      <c r="D202" s="13" t="s">
        <v>71</v>
      </c>
      <c r="E202" s="13" t="s">
        <v>140</v>
      </c>
      <c r="F202" s="13"/>
      <c r="G202" s="13"/>
      <c r="H202" s="14">
        <f>SUM(H203+H208)</f>
        <v>733.19399999999996</v>
      </c>
      <c r="I202" s="14">
        <f>SUM(I203+I208)</f>
        <v>0</v>
      </c>
      <c r="J202" s="14">
        <f>SUM(J203+J208)</f>
        <v>0</v>
      </c>
      <c r="K202" s="15">
        <f t="shared" si="34"/>
        <v>733.19399999999996</v>
      </c>
      <c r="L202" s="15">
        <f>SUM(L203+L208)</f>
        <v>719.27508999999998</v>
      </c>
      <c r="M202" s="16">
        <f t="shared" si="32"/>
        <v>98.101606123345249</v>
      </c>
      <c r="N202" s="14">
        <f>SUM(N203+N208)</f>
        <v>0</v>
      </c>
      <c r="O202" s="14">
        <f>SUM(O203+O208)</f>
        <v>0</v>
      </c>
    </row>
    <row r="203" spans="1:15" ht="32.25" thickBot="1">
      <c r="A203" s="12" t="s">
        <v>250</v>
      </c>
      <c r="B203" s="13">
        <v>902</v>
      </c>
      <c r="C203" s="13"/>
      <c r="D203" s="13" t="s">
        <v>71</v>
      </c>
      <c r="E203" s="13" t="s">
        <v>140</v>
      </c>
      <c r="F203" s="13">
        <v>4520000</v>
      </c>
      <c r="G203" s="13"/>
      <c r="H203" s="14">
        <f>SUM(H206+H204)</f>
        <v>713.19399999999996</v>
      </c>
      <c r="I203" s="14">
        <f>SUM(I206+I204)</f>
        <v>0</v>
      </c>
      <c r="J203" s="14">
        <f>SUM(J206+J204)</f>
        <v>0</v>
      </c>
      <c r="K203" s="15">
        <f t="shared" si="34"/>
        <v>713.19399999999996</v>
      </c>
      <c r="L203" s="15">
        <f>SUM(L206+L204)</f>
        <v>699.27508999999998</v>
      </c>
      <c r="M203" s="16">
        <f t="shared" si="32"/>
        <v>98.048369728292727</v>
      </c>
      <c r="N203" s="14">
        <f>SUM(N206+N204)</f>
        <v>0</v>
      </c>
      <c r="O203" s="14">
        <f>SUM(O206+O204)</f>
        <v>0</v>
      </c>
    </row>
    <row r="204" spans="1:15" ht="48" thickBot="1">
      <c r="A204" s="12" t="s">
        <v>27</v>
      </c>
      <c r="B204" s="13" t="s">
        <v>58</v>
      </c>
      <c r="C204" s="13" t="s">
        <v>28</v>
      </c>
      <c r="D204" s="13" t="s">
        <v>71</v>
      </c>
      <c r="E204" s="13" t="s">
        <v>140</v>
      </c>
      <c r="F204" s="13" t="s">
        <v>251</v>
      </c>
      <c r="G204" s="13"/>
      <c r="H204" s="18">
        <f>SUM(H205)</f>
        <v>0.19400000000000001</v>
      </c>
      <c r="I204" s="18">
        <f>SUM(I205)</f>
        <v>0</v>
      </c>
      <c r="J204" s="18">
        <f>SUM(J205)</f>
        <v>0</v>
      </c>
      <c r="K204" s="15">
        <f t="shared" si="34"/>
        <v>0.19400000000000001</v>
      </c>
      <c r="L204" s="16">
        <f>SUM(L205)</f>
        <v>0.19400000000000001</v>
      </c>
      <c r="M204" s="16">
        <f t="shared" ref="M204:M267" si="43">SUM(L204/K204)*100</f>
        <v>100</v>
      </c>
      <c r="N204" s="18">
        <f>SUM(N205)</f>
        <v>0</v>
      </c>
      <c r="O204" s="18">
        <f>SUM(O205)</f>
        <v>0</v>
      </c>
    </row>
    <row r="205" spans="1:15" ht="32.25" thickBot="1">
      <c r="A205" s="12" t="s">
        <v>202</v>
      </c>
      <c r="B205" s="13" t="s">
        <v>58</v>
      </c>
      <c r="C205" s="13" t="s">
        <v>28</v>
      </c>
      <c r="D205" s="13" t="s">
        <v>71</v>
      </c>
      <c r="E205" s="13" t="s">
        <v>140</v>
      </c>
      <c r="F205" s="13" t="s">
        <v>251</v>
      </c>
      <c r="G205" s="13" t="s">
        <v>105</v>
      </c>
      <c r="H205" s="17">
        <v>0.19400000000000001</v>
      </c>
      <c r="I205" s="17"/>
      <c r="J205" s="17"/>
      <c r="K205" s="15">
        <f t="shared" si="34"/>
        <v>0.19400000000000001</v>
      </c>
      <c r="L205" s="16">
        <v>0.19400000000000001</v>
      </c>
      <c r="M205" s="16">
        <f t="shared" si="43"/>
        <v>100</v>
      </c>
      <c r="N205" s="17"/>
      <c r="O205" s="17"/>
    </row>
    <row r="206" spans="1:15" ht="32.25" thickBot="1">
      <c r="A206" s="12" t="s">
        <v>203</v>
      </c>
      <c r="B206" s="13">
        <v>902</v>
      </c>
      <c r="C206" s="13"/>
      <c r="D206" s="13" t="s">
        <v>71</v>
      </c>
      <c r="E206" s="13" t="s">
        <v>140</v>
      </c>
      <c r="F206" s="13">
        <v>4529900</v>
      </c>
      <c r="G206" s="13"/>
      <c r="H206" s="14">
        <f>SUM(H207)</f>
        <v>713</v>
      </c>
      <c r="I206" s="14">
        <f>SUM(I207)</f>
        <v>0</v>
      </c>
      <c r="J206" s="14">
        <f>SUM(J207)</f>
        <v>0</v>
      </c>
      <c r="K206" s="15">
        <f t="shared" si="34"/>
        <v>713</v>
      </c>
      <c r="L206" s="15">
        <f>SUM(L207)</f>
        <v>699.08109000000002</v>
      </c>
      <c r="M206" s="16">
        <f t="shared" si="43"/>
        <v>98.047838709677421</v>
      </c>
      <c r="N206" s="14">
        <f>SUM(N207)</f>
        <v>0</v>
      </c>
      <c r="O206" s="14">
        <f>SUM(O207)</f>
        <v>0</v>
      </c>
    </row>
    <row r="207" spans="1:15" ht="32.25" thickBot="1">
      <c r="A207" s="12" t="s">
        <v>202</v>
      </c>
      <c r="B207" s="13">
        <v>902</v>
      </c>
      <c r="C207" s="13"/>
      <c r="D207" s="13" t="s">
        <v>71</v>
      </c>
      <c r="E207" s="13" t="s">
        <v>140</v>
      </c>
      <c r="F207" s="13">
        <v>4529900</v>
      </c>
      <c r="G207" s="13" t="s">
        <v>105</v>
      </c>
      <c r="H207" s="17">
        <f>669+25+19</f>
        <v>713</v>
      </c>
      <c r="I207" s="17"/>
      <c r="J207" s="17"/>
      <c r="K207" s="15">
        <f t="shared" si="34"/>
        <v>713</v>
      </c>
      <c r="L207" s="16">
        <f>713-13.91891</f>
        <v>699.08109000000002</v>
      </c>
      <c r="M207" s="16">
        <f t="shared" si="43"/>
        <v>98.047838709677421</v>
      </c>
      <c r="N207" s="17"/>
      <c r="O207" s="17"/>
    </row>
    <row r="208" spans="1:15" ht="32.25" thickBot="1">
      <c r="A208" s="12" t="s">
        <v>57</v>
      </c>
      <c r="B208" s="13" t="s">
        <v>58</v>
      </c>
      <c r="C208" s="13"/>
      <c r="D208" s="13" t="s">
        <v>71</v>
      </c>
      <c r="E208" s="13" t="s">
        <v>140</v>
      </c>
      <c r="F208" s="13" t="s">
        <v>59</v>
      </c>
      <c r="G208" s="13"/>
      <c r="H208" s="14">
        <f>SUM(H209)</f>
        <v>20</v>
      </c>
      <c r="I208" s="14">
        <f>SUM(I209)</f>
        <v>0</v>
      </c>
      <c r="J208" s="14">
        <f>SUM(J209)</f>
        <v>0</v>
      </c>
      <c r="K208" s="15">
        <f t="shared" si="34"/>
        <v>20</v>
      </c>
      <c r="L208" s="15">
        <f>SUM(L209)</f>
        <v>20</v>
      </c>
      <c r="M208" s="16">
        <f t="shared" si="43"/>
        <v>100</v>
      </c>
      <c r="N208" s="14">
        <f>SUM(N209)</f>
        <v>0</v>
      </c>
      <c r="O208" s="14">
        <f>SUM(O209)</f>
        <v>0</v>
      </c>
    </row>
    <row r="209" spans="1:15" ht="79.5" thickBot="1">
      <c r="A209" s="12" t="s">
        <v>252</v>
      </c>
      <c r="B209" s="13" t="s">
        <v>58</v>
      </c>
      <c r="C209" s="13"/>
      <c r="D209" s="13" t="s">
        <v>71</v>
      </c>
      <c r="E209" s="13" t="s">
        <v>140</v>
      </c>
      <c r="F209" s="13" t="s">
        <v>59</v>
      </c>
      <c r="G209" s="13" t="s">
        <v>30</v>
      </c>
      <c r="H209" s="17">
        <v>20</v>
      </c>
      <c r="I209" s="17"/>
      <c r="J209" s="17"/>
      <c r="K209" s="15">
        <f t="shared" si="34"/>
        <v>20</v>
      </c>
      <c r="L209" s="16">
        <v>20</v>
      </c>
      <c r="M209" s="16">
        <f t="shared" si="43"/>
        <v>100</v>
      </c>
      <c r="N209" s="17"/>
      <c r="O209" s="17"/>
    </row>
    <row r="210" spans="1:15" ht="16.5" thickBot="1">
      <c r="A210" s="12" t="s">
        <v>253</v>
      </c>
      <c r="B210" s="13" t="s">
        <v>58</v>
      </c>
      <c r="C210" s="13"/>
      <c r="D210" s="13" t="s">
        <v>254</v>
      </c>
      <c r="E210" s="13"/>
      <c r="F210" s="13"/>
      <c r="G210" s="13"/>
      <c r="H210" s="14">
        <f>SUM(H211+H239+H245)</f>
        <v>13749.2</v>
      </c>
      <c r="I210" s="14">
        <f>SUM(I211+I239+I245)</f>
        <v>0</v>
      </c>
      <c r="J210" s="14">
        <f>SUM(J211+J239+J245)</f>
        <v>-249.79827999999998</v>
      </c>
      <c r="K210" s="15">
        <f t="shared" si="34"/>
        <v>13499.401720000002</v>
      </c>
      <c r="L210" s="15">
        <f>SUM(L211+L239+L245)</f>
        <v>13205.97149</v>
      </c>
      <c r="M210" s="16">
        <f t="shared" si="43"/>
        <v>97.826346410854114</v>
      </c>
      <c r="N210" s="14">
        <f>SUM(N211+N239+N245)</f>
        <v>0</v>
      </c>
      <c r="O210" s="14">
        <f>SUM(O211+O239+O245)</f>
        <v>0</v>
      </c>
    </row>
    <row r="211" spans="1:15" ht="16.5" thickBot="1">
      <c r="A211" s="12" t="s">
        <v>255</v>
      </c>
      <c r="B211" s="13" t="s">
        <v>58</v>
      </c>
      <c r="C211" s="13"/>
      <c r="D211" s="13" t="s">
        <v>254</v>
      </c>
      <c r="E211" s="13" t="s">
        <v>19</v>
      </c>
      <c r="F211" s="13"/>
      <c r="G211" s="13"/>
      <c r="H211" s="14">
        <f t="shared" ref="H211:O211" si="44">SUM(H212+H226+H232+H237+H219+H224)</f>
        <v>11990.2</v>
      </c>
      <c r="I211" s="14">
        <f t="shared" si="44"/>
        <v>0</v>
      </c>
      <c r="J211" s="14">
        <f t="shared" si="44"/>
        <v>-197.64430999999999</v>
      </c>
      <c r="K211" s="15">
        <f t="shared" si="44"/>
        <v>11792.555690000001</v>
      </c>
      <c r="L211" s="15">
        <f t="shared" si="44"/>
        <v>11528.67078</v>
      </c>
      <c r="M211" s="16">
        <f t="shared" si="43"/>
        <v>97.762275481778957</v>
      </c>
      <c r="N211" s="14">
        <f t="shared" si="44"/>
        <v>0</v>
      </c>
      <c r="O211" s="14">
        <f t="shared" si="44"/>
        <v>0</v>
      </c>
    </row>
    <row r="212" spans="1:15" ht="32.25" thickBot="1">
      <c r="A212" s="21" t="s">
        <v>256</v>
      </c>
      <c r="B212" s="25" t="s">
        <v>58</v>
      </c>
      <c r="C212" s="25"/>
      <c r="D212" s="13" t="s">
        <v>254</v>
      </c>
      <c r="E212" s="22" t="s">
        <v>19</v>
      </c>
      <c r="F212" s="25">
        <v>4400000</v>
      </c>
      <c r="G212" s="25"/>
      <c r="H212" s="14">
        <f t="shared" ref="H212:O212" si="45">SUM(H215+H218)</f>
        <v>7459.0000000000009</v>
      </c>
      <c r="I212" s="14">
        <f t="shared" si="45"/>
        <v>0</v>
      </c>
      <c r="J212" s="14">
        <f t="shared" si="45"/>
        <v>-95.650569999999988</v>
      </c>
      <c r="K212" s="15">
        <f t="shared" si="45"/>
        <v>7363.3494300000011</v>
      </c>
      <c r="L212" s="15">
        <f t="shared" si="45"/>
        <v>7233.8079300000009</v>
      </c>
      <c r="M212" s="16">
        <f t="shared" si="43"/>
        <v>98.240725892048289</v>
      </c>
      <c r="N212" s="14">
        <f t="shared" si="45"/>
        <v>0</v>
      </c>
      <c r="O212" s="14">
        <f t="shared" si="45"/>
        <v>0</v>
      </c>
    </row>
    <row r="213" spans="1:15" ht="42" customHeight="1" thickBot="1">
      <c r="A213" s="12" t="s">
        <v>257</v>
      </c>
      <c r="B213" s="13" t="s">
        <v>58</v>
      </c>
      <c r="C213" s="13"/>
      <c r="D213" s="13" t="s">
        <v>254</v>
      </c>
      <c r="E213" s="13" t="s">
        <v>19</v>
      </c>
      <c r="F213" s="13" t="s">
        <v>258</v>
      </c>
      <c r="G213" s="13"/>
      <c r="H213" s="14">
        <f>SUM(H216)</f>
        <v>7426.0000000000009</v>
      </c>
      <c r="I213" s="14">
        <f>SUM(I216)</f>
        <v>0</v>
      </c>
      <c r="J213" s="14">
        <f>SUM(J216)</f>
        <v>-95.650569999999988</v>
      </c>
      <c r="K213" s="15">
        <f t="shared" si="34"/>
        <v>7330.3494300000011</v>
      </c>
      <c r="L213" s="15">
        <f>SUM(L216)</f>
        <v>7203.8014300000004</v>
      </c>
      <c r="M213" s="16">
        <f t="shared" si="43"/>
        <v>98.273643006947339</v>
      </c>
      <c r="N213" s="14">
        <f>SUM(N216)</f>
        <v>0</v>
      </c>
      <c r="O213" s="14">
        <f>SUM(O216)</f>
        <v>0</v>
      </c>
    </row>
    <row r="214" spans="1:15" ht="32.25" thickBot="1">
      <c r="A214" s="12" t="s">
        <v>123</v>
      </c>
      <c r="B214" s="13" t="s">
        <v>58</v>
      </c>
      <c r="C214" s="13"/>
      <c r="D214" s="13" t="s">
        <v>254</v>
      </c>
      <c r="E214" s="13" t="s">
        <v>19</v>
      </c>
      <c r="F214" s="13" t="s">
        <v>258</v>
      </c>
      <c r="G214" s="13"/>
      <c r="H214" s="14">
        <f t="shared" ref="H214:O214" si="46">SUM(H215+H218)</f>
        <v>7459.0000000000009</v>
      </c>
      <c r="I214" s="14">
        <f t="shared" si="46"/>
        <v>0</v>
      </c>
      <c r="J214" s="14">
        <f t="shared" si="46"/>
        <v>-95.650569999999988</v>
      </c>
      <c r="K214" s="15">
        <f t="shared" si="46"/>
        <v>7363.3494300000011</v>
      </c>
      <c r="L214" s="15">
        <f t="shared" si="46"/>
        <v>7233.8079300000009</v>
      </c>
      <c r="M214" s="16">
        <f t="shared" si="43"/>
        <v>98.240725892048289</v>
      </c>
      <c r="N214" s="14">
        <f t="shared" si="46"/>
        <v>0</v>
      </c>
      <c r="O214" s="14">
        <f t="shared" si="46"/>
        <v>0</v>
      </c>
    </row>
    <row r="215" spans="1:15" ht="63.75" thickBot="1">
      <c r="A215" s="12" t="s">
        <v>127</v>
      </c>
      <c r="B215" s="13" t="s">
        <v>58</v>
      </c>
      <c r="C215" s="13"/>
      <c r="D215" s="13" t="s">
        <v>254</v>
      </c>
      <c r="E215" s="13" t="s">
        <v>19</v>
      </c>
      <c r="F215" s="13" t="s">
        <v>258</v>
      </c>
      <c r="G215" s="13" t="s">
        <v>126</v>
      </c>
      <c r="H215" s="18">
        <f t="shared" ref="H215:O215" si="47">SUM(H216+H217)</f>
        <v>7451.1294000000007</v>
      </c>
      <c r="I215" s="18">
        <f t="shared" si="47"/>
        <v>0</v>
      </c>
      <c r="J215" s="18">
        <f t="shared" si="47"/>
        <v>-95.650569999999988</v>
      </c>
      <c r="K215" s="16">
        <f t="shared" si="47"/>
        <v>7355.4788300000009</v>
      </c>
      <c r="L215" s="16">
        <f t="shared" si="47"/>
        <v>7225.9373300000007</v>
      </c>
      <c r="M215" s="16">
        <f t="shared" si="43"/>
        <v>98.238843411911489</v>
      </c>
      <c r="N215" s="18">
        <f t="shared" si="47"/>
        <v>0</v>
      </c>
      <c r="O215" s="18">
        <f t="shared" si="47"/>
        <v>0</v>
      </c>
    </row>
    <row r="216" spans="1:15" ht="63.75" thickBot="1">
      <c r="A216" s="12" t="s">
        <v>127</v>
      </c>
      <c r="B216" s="13" t="s">
        <v>58</v>
      </c>
      <c r="C216" s="13"/>
      <c r="D216" s="13" t="s">
        <v>254</v>
      </c>
      <c r="E216" s="13" t="s">
        <v>19</v>
      </c>
      <c r="F216" s="13" t="s">
        <v>258</v>
      </c>
      <c r="G216" s="13" t="s">
        <v>126</v>
      </c>
      <c r="H216" s="17">
        <f>5581.8+600+451.6+792.6</f>
        <v>7426.0000000000009</v>
      </c>
      <c r="I216" s="17"/>
      <c r="J216" s="17">
        <f>-128.15792+32.50735</f>
        <v>-95.650569999999988</v>
      </c>
      <c r="K216" s="15">
        <f t="shared" si="34"/>
        <v>7330.3494300000011</v>
      </c>
      <c r="L216" s="16">
        <v>7203.8014300000004</v>
      </c>
      <c r="M216" s="16">
        <f t="shared" si="43"/>
        <v>98.273643006947339</v>
      </c>
      <c r="N216" s="17"/>
      <c r="O216" s="17"/>
    </row>
    <row r="217" spans="1:15" ht="32.25" thickBot="1">
      <c r="A217" s="12" t="s">
        <v>188</v>
      </c>
      <c r="B217" s="13" t="s">
        <v>58</v>
      </c>
      <c r="C217" s="13" t="s">
        <v>224</v>
      </c>
      <c r="D217" s="13" t="s">
        <v>254</v>
      </c>
      <c r="E217" s="13" t="s">
        <v>19</v>
      </c>
      <c r="F217" s="13" t="s">
        <v>258</v>
      </c>
      <c r="G217" s="13" t="s">
        <v>126</v>
      </c>
      <c r="H217" s="17">
        <v>25.1294</v>
      </c>
      <c r="I217" s="17"/>
      <c r="J217" s="17"/>
      <c r="K217" s="15">
        <f>SUM(H217:J217)</f>
        <v>25.1294</v>
      </c>
      <c r="L217" s="16">
        <v>22.135899999999999</v>
      </c>
      <c r="M217" s="16">
        <f t="shared" si="43"/>
        <v>88.087658280738893</v>
      </c>
      <c r="N217" s="17"/>
      <c r="O217" s="17"/>
    </row>
    <row r="218" spans="1:15" ht="32.25" thickBot="1">
      <c r="A218" s="12" t="s">
        <v>188</v>
      </c>
      <c r="B218" s="13" t="s">
        <v>58</v>
      </c>
      <c r="C218" s="13" t="s">
        <v>224</v>
      </c>
      <c r="D218" s="13" t="s">
        <v>254</v>
      </c>
      <c r="E218" s="13" t="s">
        <v>19</v>
      </c>
      <c r="F218" s="13" t="s">
        <v>258</v>
      </c>
      <c r="G218" s="13" t="s">
        <v>194</v>
      </c>
      <c r="H218" s="17">
        <v>7.8705999999999996</v>
      </c>
      <c r="I218" s="17"/>
      <c r="J218" s="17"/>
      <c r="K218" s="15">
        <f t="shared" si="34"/>
        <v>7.8705999999999996</v>
      </c>
      <c r="L218" s="16">
        <v>7.8705999999999996</v>
      </c>
      <c r="M218" s="16">
        <f t="shared" si="43"/>
        <v>100</v>
      </c>
      <c r="N218" s="17"/>
      <c r="O218" s="17"/>
    </row>
    <row r="219" spans="1:15" ht="32.25" thickBot="1">
      <c r="A219" s="12" t="s">
        <v>57</v>
      </c>
      <c r="B219" s="13" t="s">
        <v>58</v>
      </c>
      <c r="C219" s="13"/>
      <c r="D219" s="13" t="s">
        <v>254</v>
      </c>
      <c r="E219" s="13" t="s">
        <v>19</v>
      </c>
      <c r="F219" s="13"/>
      <c r="G219" s="13"/>
      <c r="H219" s="14">
        <f t="shared" ref="H219:O219" si="48">SUM(H220:H223)</f>
        <v>471.5</v>
      </c>
      <c r="I219" s="14">
        <f t="shared" si="48"/>
        <v>0</v>
      </c>
      <c r="J219" s="14">
        <f t="shared" si="48"/>
        <v>0</v>
      </c>
      <c r="K219" s="15">
        <f t="shared" si="48"/>
        <v>471.5</v>
      </c>
      <c r="L219" s="15">
        <f t="shared" si="48"/>
        <v>383.5</v>
      </c>
      <c r="M219" s="16">
        <f t="shared" si="43"/>
        <v>81.336161187698835</v>
      </c>
      <c r="N219" s="14">
        <f t="shared" si="48"/>
        <v>0</v>
      </c>
      <c r="O219" s="14">
        <f t="shared" si="48"/>
        <v>0</v>
      </c>
    </row>
    <row r="220" spans="1:15" ht="48" thickBot="1">
      <c r="A220" s="26" t="s">
        <v>259</v>
      </c>
      <c r="B220" s="13" t="s">
        <v>58</v>
      </c>
      <c r="C220" s="13" t="s">
        <v>260</v>
      </c>
      <c r="D220" s="13" t="s">
        <v>254</v>
      </c>
      <c r="E220" s="13" t="s">
        <v>19</v>
      </c>
      <c r="F220" s="13" t="s">
        <v>59</v>
      </c>
      <c r="G220" s="13" t="s">
        <v>101</v>
      </c>
      <c r="H220" s="17">
        <v>110</v>
      </c>
      <c r="I220" s="17"/>
      <c r="J220" s="17"/>
      <c r="K220" s="15">
        <f t="shared" si="34"/>
        <v>110</v>
      </c>
      <c r="L220" s="16">
        <v>110</v>
      </c>
      <c r="M220" s="16">
        <f t="shared" si="43"/>
        <v>100</v>
      </c>
      <c r="N220" s="17"/>
      <c r="O220" s="17"/>
    </row>
    <row r="221" spans="1:15" ht="63.75" thickBot="1">
      <c r="A221" s="12" t="s">
        <v>163</v>
      </c>
      <c r="B221" s="13" t="s">
        <v>58</v>
      </c>
      <c r="C221" s="13" t="s">
        <v>260</v>
      </c>
      <c r="D221" s="13" t="s">
        <v>254</v>
      </c>
      <c r="E221" s="13" t="s">
        <v>19</v>
      </c>
      <c r="F221" s="13" t="s">
        <v>164</v>
      </c>
      <c r="G221" s="13" t="s">
        <v>101</v>
      </c>
      <c r="H221" s="17">
        <v>88</v>
      </c>
      <c r="I221" s="17"/>
      <c r="J221" s="17"/>
      <c r="K221" s="15">
        <f t="shared" si="34"/>
        <v>88</v>
      </c>
      <c r="L221" s="16">
        <v>0</v>
      </c>
      <c r="M221" s="16">
        <f t="shared" si="43"/>
        <v>0</v>
      </c>
      <c r="N221" s="17"/>
      <c r="O221" s="17"/>
    </row>
    <row r="222" spans="1:15" ht="48" thickBot="1">
      <c r="A222" s="12" t="s">
        <v>261</v>
      </c>
      <c r="B222" s="13" t="s">
        <v>58</v>
      </c>
      <c r="C222" s="13" t="s">
        <v>262</v>
      </c>
      <c r="D222" s="13" t="s">
        <v>254</v>
      </c>
      <c r="E222" s="13" t="s">
        <v>19</v>
      </c>
      <c r="F222" s="13" t="s">
        <v>59</v>
      </c>
      <c r="G222" s="13" t="s">
        <v>101</v>
      </c>
      <c r="H222" s="17">
        <v>200</v>
      </c>
      <c r="I222" s="17"/>
      <c r="J222" s="17"/>
      <c r="K222" s="15">
        <f t="shared" si="34"/>
        <v>200</v>
      </c>
      <c r="L222" s="16">
        <v>200</v>
      </c>
      <c r="M222" s="16">
        <f t="shared" si="43"/>
        <v>100</v>
      </c>
      <c r="N222" s="17"/>
      <c r="O222" s="17"/>
    </row>
    <row r="223" spans="1:15" ht="48" thickBot="1">
      <c r="A223" s="12" t="s">
        <v>129</v>
      </c>
      <c r="B223" s="13" t="s">
        <v>58</v>
      </c>
      <c r="C223" s="13" t="s">
        <v>113</v>
      </c>
      <c r="D223" s="13" t="s">
        <v>254</v>
      </c>
      <c r="E223" s="13" t="s">
        <v>19</v>
      </c>
      <c r="F223" s="13" t="s">
        <v>59</v>
      </c>
      <c r="G223" s="13" t="s">
        <v>101</v>
      </c>
      <c r="H223" s="17">
        <v>73.5</v>
      </c>
      <c r="I223" s="17"/>
      <c r="J223" s="17"/>
      <c r="K223" s="15">
        <f t="shared" si="34"/>
        <v>73.5</v>
      </c>
      <c r="L223" s="16">
        <v>73.5</v>
      </c>
      <c r="M223" s="16">
        <f t="shared" si="43"/>
        <v>100</v>
      </c>
      <c r="N223" s="17"/>
      <c r="O223" s="17"/>
    </row>
    <row r="224" spans="1:15" ht="32.25" thickBot="1">
      <c r="A224" s="12" t="s">
        <v>263</v>
      </c>
      <c r="B224" s="13" t="s">
        <v>58</v>
      </c>
      <c r="C224" s="13"/>
      <c r="D224" s="13" t="s">
        <v>254</v>
      </c>
      <c r="E224" s="13" t="s">
        <v>19</v>
      </c>
      <c r="F224" s="13" t="s">
        <v>264</v>
      </c>
      <c r="G224" s="13"/>
      <c r="H224" s="14">
        <f t="shared" ref="H224:O224" si="49">SUM(H225)</f>
        <v>1033.4000000000001</v>
      </c>
      <c r="I224" s="14">
        <f t="shared" si="49"/>
        <v>0</v>
      </c>
      <c r="J224" s="14">
        <f t="shared" si="49"/>
        <v>0</v>
      </c>
      <c r="K224" s="15">
        <f t="shared" si="49"/>
        <v>1033.4000000000001</v>
      </c>
      <c r="L224" s="15">
        <f t="shared" si="49"/>
        <v>1033.4000000000001</v>
      </c>
      <c r="M224" s="16">
        <f t="shared" si="43"/>
        <v>100</v>
      </c>
      <c r="N224" s="14">
        <f t="shared" si="49"/>
        <v>0</v>
      </c>
      <c r="O224" s="14">
        <f t="shared" si="49"/>
        <v>0</v>
      </c>
    </row>
    <row r="225" spans="1:15" ht="21.75" customHeight="1" thickBot="1">
      <c r="A225" s="12" t="s">
        <v>265</v>
      </c>
      <c r="B225" s="13" t="s">
        <v>58</v>
      </c>
      <c r="C225" s="13"/>
      <c r="D225" s="13" t="s">
        <v>254</v>
      </c>
      <c r="E225" s="13" t="s">
        <v>19</v>
      </c>
      <c r="F225" s="13" t="s">
        <v>264</v>
      </c>
      <c r="G225" s="13" t="s">
        <v>96</v>
      </c>
      <c r="H225" s="17">
        <v>1033.4000000000001</v>
      </c>
      <c r="I225" s="17"/>
      <c r="J225" s="17"/>
      <c r="K225" s="15">
        <f t="shared" si="34"/>
        <v>1033.4000000000001</v>
      </c>
      <c r="L225" s="16">
        <v>1033.4000000000001</v>
      </c>
      <c r="M225" s="16">
        <f t="shared" si="43"/>
        <v>100</v>
      </c>
      <c r="N225" s="17"/>
      <c r="O225" s="17"/>
    </row>
    <row r="226" spans="1:15" ht="16.5" thickBot="1">
      <c r="A226" s="12" t="s">
        <v>266</v>
      </c>
      <c r="B226" s="13" t="s">
        <v>58</v>
      </c>
      <c r="C226" s="13"/>
      <c r="D226" s="13" t="s">
        <v>254</v>
      </c>
      <c r="E226" s="13" t="s">
        <v>19</v>
      </c>
      <c r="F226" s="13">
        <v>4410000</v>
      </c>
      <c r="G226" s="13"/>
      <c r="H226" s="14">
        <f t="shared" ref="H226:J227" si="50">SUM(H228)</f>
        <v>793.2</v>
      </c>
      <c r="I226" s="14">
        <f t="shared" si="50"/>
        <v>0</v>
      </c>
      <c r="J226" s="14">
        <f t="shared" si="50"/>
        <v>-44.787529999999997</v>
      </c>
      <c r="K226" s="15">
        <f t="shared" si="34"/>
        <v>748.4124700000001</v>
      </c>
      <c r="L226" s="15">
        <f t="shared" ref="L226:O227" si="51">SUM(L228)</f>
        <v>735.89923999999996</v>
      </c>
      <c r="M226" s="16">
        <f t="shared" si="43"/>
        <v>98.32803026384633</v>
      </c>
      <c r="N226" s="14">
        <f t="shared" si="51"/>
        <v>0</v>
      </c>
      <c r="O226" s="14">
        <f t="shared" si="51"/>
        <v>0</v>
      </c>
    </row>
    <row r="227" spans="1:15" ht="58.5" customHeight="1" thickBot="1">
      <c r="A227" s="12" t="s">
        <v>257</v>
      </c>
      <c r="B227" s="13" t="s">
        <v>58</v>
      </c>
      <c r="C227" s="13"/>
      <c r="D227" s="13" t="s">
        <v>254</v>
      </c>
      <c r="E227" s="13" t="s">
        <v>19</v>
      </c>
      <c r="F227" s="13" t="s">
        <v>267</v>
      </c>
      <c r="G227" s="13"/>
      <c r="H227" s="14">
        <f t="shared" si="50"/>
        <v>793.2</v>
      </c>
      <c r="I227" s="14">
        <f t="shared" si="50"/>
        <v>0</v>
      </c>
      <c r="J227" s="14">
        <f t="shared" si="50"/>
        <v>-44.787529999999997</v>
      </c>
      <c r="K227" s="15">
        <f t="shared" si="34"/>
        <v>748.4124700000001</v>
      </c>
      <c r="L227" s="15">
        <f t="shared" si="51"/>
        <v>735.89923999999996</v>
      </c>
      <c r="M227" s="16">
        <f t="shared" si="43"/>
        <v>98.32803026384633</v>
      </c>
      <c r="N227" s="14">
        <f t="shared" si="51"/>
        <v>0</v>
      </c>
      <c r="O227" s="14">
        <f t="shared" si="51"/>
        <v>0</v>
      </c>
    </row>
    <row r="228" spans="1:15" ht="32.25" thickBot="1">
      <c r="A228" s="12" t="s">
        <v>123</v>
      </c>
      <c r="B228" s="13" t="s">
        <v>58</v>
      </c>
      <c r="C228" s="13"/>
      <c r="D228" s="13" t="s">
        <v>254</v>
      </c>
      <c r="E228" s="13" t="s">
        <v>19</v>
      </c>
      <c r="F228" s="13" t="s">
        <v>267</v>
      </c>
      <c r="G228" s="13"/>
      <c r="H228" s="14">
        <f>SUM(H229+H230)</f>
        <v>793.2</v>
      </c>
      <c r="I228" s="14">
        <f>SUM(I229+I230)</f>
        <v>0</v>
      </c>
      <c r="J228" s="14">
        <f>SUM(J229+J230)</f>
        <v>-44.787529999999997</v>
      </c>
      <c r="K228" s="15">
        <f t="shared" si="34"/>
        <v>748.4124700000001</v>
      </c>
      <c r="L228" s="15">
        <f>SUM(L229+L230)</f>
        <v>735.89923999999996</v>
      </c>
      <c r="M228" s="16">
        <f t="shared" si="43"/>
        <v>98.32803026384633</v>
      </c>
      <c r="N228" s="14">
        <f>SUM(N229+N230)</f>
        <v>0</v>
      </c>
      <c r="O228" s="14">
        <f>SUM(O229+O230)</f>
        <v>0</v>
      </c>
    </row>
    <row r="229" spans="1:15" ht="63.75" thickBot="1">
      <c r="A229" s="12" t="s">
        <v>127</v>
      </c>
      <c r="B229" s="13" t="s">
        <v>58</v>
      </c>
      <c r="C229" s="13"/>
      <c r="D229" s="13" t="s">
        <v>254</v>
      </c>
      <c r="E229" s="13" t="s">
        <v>19</v>
      </c>
      <c r="F229" s="13" t="s">
        <v>267</v>
      </c>
      <c r="G229" s="13" t="s">
        <v>126</v>
      </c>
      <c r="H229" s="17">
        <f>700+55+38.2</f>
        <v>793.2</v>
      </c>
      <c r="I229" s="17"/>
      <c r="J229" s="17">
        <v>-44.787529999999997</v>
      </c>
      <c r="K229" s="15">
        <f t="shared" si="34"/>
        <v>748.4124700000001</v>
      </c>
      <c r="L229" s="16">
        <v>735.89923999999996</v>
      </c>
      <c r="M229" s="16">
        <f t="shared" si="43"/>
        <v>98.32803026384633</v>
      </c>
      <c r="N229" s="17"/>
      <c r="O229" s="17"/>
    </row>
    <row r="230" spans="1:15" ht="32.25" hidden="1" thickBot="1">
      <c r="A230" s="12" t="s">
        <v>128</v>
      </c>
      <c r="B230" s="13" t="s">
        <v>58</v>
      </c>
      <c r="C230" s="13"/>
      <c r="D230" s="13" t="s">
        <v>254</v>
      </c>
      <c r="E230" s="13" t="s">
        <v>19</v>
      </c>
      <c r="F230" s="13" t="s">
        <v>267</v>
      </c>
      <c r="G230" s="13" t="s">
        <v>101</v>
      </c>
      <c r="H230" s="18">
        <f>SUM(H231)</f>
        <v>0</v>
      </c>
      <c r="I230" s="18">
        <f>SUM(I231)</f>
        <v>0</v>
      </c>
      <c r="J230" s="18">
        <f>SUM(J231)</f>
        <v>0</v>
      </c>
      <c r="K230" s="15">
        <f t="shared" si="34"/>
        <v>0</v>
      </c>
      <c r="L230" s="16">
        <f>SUM(L231)</f>
        <v>0</v>
      </c>
      <c r="M230" s="16" t="e">
        <f t="shared" si="43"/>
        <v>#DIV/0!</v>
      </c>
      <c r="N230" s="18">
        <f>SUM(N231)</f>
        <v>0</v>
      </c>
      <c r="O230" s="18">
        <f>SUM(O231)</f>
        <v>0</v>
      </c>
    </row>
    <row r="231" spans="1:15" ht="32.25" hidden="1" thickBot="1">
      <c r="A231" s="12" t="s">
        <v>128</v>
      </c>
      <c r="B231" s="13" t="s">
        <v>58</v>
      </c>
      <c r="C231" s="13"/>
      <c r="D231" s="13" t="s">
        <v>254</v>
      </c>
      <c r="E231" s="13" t="s">
        <v>19</v>
      </c>
      <c r="F231" s="13" t="s">
        <v>267</v>
      </c>
      <c r="G231" s="13" t="s">
        <v>101</v>
      </c>
      <c r="H231" s="17">
        <v>0</v>
      </c>
      <c r="I231" s="17"/>
      <c r="J231" s="17"/>
      <c r="K231" s="15">
        <f t="shared" si="34"/>
        <v>0</v>
      </c>
      <c r="L231" s="16">
        <v>0</v>
      </c>
      <c r="M231" s="16" t="e">
        <f t="shared" si="43"/>
        <v>#DIV/0!</v>
      </c>
      <c r="N231" s="17"/>
      <c r="O231" s="17"/>
    </row>
    <row r="232" spans="1:15" ht="19.5" customHeight="1" thickBot="1">
      <c r="A232" s="12" t="s">
        <v>268</v>
      </c>
      <c r="B232" s="13" t="s">
        <v>58</v>
      </c>
      <c r="C232" s="13"/>
      <c r="D232" s="13" t="s">
        <v>254</v>
      </c>
      <c r="E232" s="13" t="s">
        <v>19</v>
      </c>
      <c r="F232" s="13">
        <v>4420000</v>
      </c>
      <c r="G232" s="13"/>
      <c r="H232" s="14">
        <f>SUM(H234)</f>
        <v>2189.6</v>
      </c>
      <c r="I232" s="14">
        <f t="shared" ref="H232:J233" si="52">SUM(I234)</f>
        <v>0</v>
      </c>
      <c r="J232" s="14">
        <f t="shared" si="52"/>
        <v>-57.206209999999999</v>
      </c>
      <c r="K232" s="15">
        <f t="shared" ref="K232:K302" si="53">SUM(H232:J232)</f>
        <v>2132.3937900000001</v>
      </c>
      <c r="L232" s="15">
        <f t="shared" ref="L232:O233" si="54">SUM(L234)</f>
        <v>2098.5636100000002</v>
      </c>
      <c r="M232" s="16">
        <f t="shared" si="43"/>
        <v>98.413511605658925</v>
      </c>
      <c r="N232" s="14">
        <f t="shared" si="54"/>
        <v>0</v>
      </c>
      <c r="O232" s="14">
        <f t="shared" si="54"/>
        <v>0</v>
      </c>
    </row>
    <row r="233" spans="1:15" ht="57.75" customHeight="1" thickBot="1">
      <c r="A233" s="12" t="s">
        <v>257</v>
      </c>
      <c r="B233" s="13" t="s">
        <v>58</v>
      </c>
      <c r="C233" s="13"/>
      <c r="D233" s="13" t="s">
        <v>254</v>
      </c>
      <c r="E233" s="13" t="s">
        <v>19</v>
      </c>
      <c r="F233" s="13">
        <v>4420000</v>
      </c>
      <c r="G233" s="13"/>
      <c r="H233" s="14">
        <f t="shared" si="52"/>
        <v>2189.6</v>
      </c>
      <c r="I233" s="14">
        <f>SUM(I235)</f>
        <v>0</v>
      </c>
      <c r="J233" s="14">
        <f t="shared" si="52"/>
        <v>-57.206209999999999</v>
      </c>
      <c r="K233" s="15">
        <f t="shared" si="53"/>
        <v>2132.3937900000001</v>
      </c>
      <c r="L233" s="15">
        <f t="shared" si="54"/>
        <v>2098.5636100000002</v>
      </c>
      <c r="M233" s="16">
        <f t="shared" si="43"/>
        <v>98.413511605658925</v>
      </c>
      <c r="N233" s="14">
        <f t="shared" si="54"/>
        <v>0</v>
      </c>
      <c r="O233" s="14">
        <f t="shared" si="54"/>
        <v>0</v>
      </c>
    </row>
    <row r="234" spans="1:15" ht="32.25" thickBot="1">
      <c r="A234" s="12" t="s">
        <v>123</v>
      </c>
      <c r="B234" s="13" t="s">
        <v>58</v>
      </c>
      <c r="C234" s="13"/>
      <c r="D234" s="13" t="s">
        <v>254</v>
      </c>
      <c r="E234" s="13" t="s">
        <v>19</v>
      </c>
      <c r="F234" s="13" t="s">
        <v>269</v>
      </c>
      <c r="G234" s="13"/>
      <c r="H234" s="14">
        <f>SUM(H235+H236)</f>
        <v>2189.6</v>
      </c>
      <c r="I234" s="14">
        <f>SUM(I235+I236)</f>
        <v>0</v>
      </c>
      <c r="J234" s="14">
        <f>SUM(J235+J236)</f>
        <v>-57.206209999999999</v>
      </c>
      <c r="K234" s="15">
        <f t="shared" si="53"/>
        <v>2132.3937900000001</v>
      </c>
      <c r="L234" s="15">
        <f>SUM(L235+L236)</f>
        <v>2098.5636100000002</v>
      </c>
      <c r="M234" s="16">
        <f t="shared" si="43"/>
        <v>98.413511605658925</v>
      </c>
      <c r="N234" s="14">
        <f>SUM(N235+N236)</f>
        <v>0</v>
      </c>
      <c r="O234" s="14">
        <f>SUM(O235+O236)</f>
        <v>0</v>
      </c>
    </row>
    <row r="235" spans="1:15" ht="63.75" thickBot="1">
      <c r="A235" s="12" t="s">
        <v>127</v>
      </c>
      <c r="B235" s="13" t="s">
        <v>58</v>
      </c>
      <c r="C235" s="13"/>
      <c r="D235" s="13" t="s">
        <v>254</v>
      </c>
      <c r="E235" s="13" t="s">
        <v>19</v>
      </c>
      <c r="F235" s="13" t="s">
        <v>269</v>
      </c>
      <c r="G235" s="13" t="s">
        <v>126</v>
      </c>
      <c r="H235" s="17">
        <f>2006+182+1.6</f>
        <v>2189.6</v>
      </c>
      <c r="I235" s="17"/>
      <c r="J235" s="17">
        <v>-57.206209999999999</v>
      </c>
      <c r="K235" s="15">
        <f t="shared" si="53"/>
        <v>2132.3937900000001</v>
      </c>
      <c r="L235" s="16">
        <v>2098.5636100000002</v>
      </c>
      <c r="M235" s="16">
        <f t="shared" si="43"/>
        <v>98.413511605658925</v>
      </c>
      <c r="N235" s="17"/>
      <c r="O235" s="17"/>
    </row>
    <row r="236" spans="1:15" ht="32.25" hidden="1" thickBot="1">
      <c r="A236" s="12" t="s">
        <v>128</v>
      </c>
      <c r="B236" s="13" t="s">
        <v>58</v>
      </c>
      <c r="C236" s="13"/>
      <c r="D236" s="13" t="s">
        <v>254</v>
      </c>
      <c r="E236" s="13" t="s">
        <v>19</v>
      </c>
      <c r="F236" s="13" t="s">
        <v>269</v>
      </c>
      <c r="G236" s="13" t="s">
        <v>101</v>
      </c>
      <c r="H236" s="17">
        <v>0</v>
      </c>
      <c r="I236" s="17"/>
      <c r="J236" s="17"/>
      <c r="K236" s="15">
        <f t="shared" si="53"/>
        <v>0</v>
      </c>
      <c r="L236" s="16">
        <v>0</v>
      </c>
      <c r="M236" s="16" t="e">
        <f t="shared" si="43"/>
        <v>#DIV/0!</v>
      </c>
      <c r="N236" s="17"/>
      <c r="O236" s="17"/>
    </row>
    <row r="237" spans="1:15" ht="63.75" thickBot="1">
      <c r="A237" s="12" t="s">
        <v>270</v>
      </c>
      <c r="B237" s="13" t="s">
        <v>58</v>
      </c>
      <c r="C237" s="13" t="s">
        <v>271</v>
      </c>
      <c r="D237" s="13" t="s">
        <v>254</v>
      </c>
      <c r="E237" s="13" t="s">
        <v>19</v>
      </c>
      <c r="F237" s="13" t="s">
        <v>272</v>
      </c>
      <c r="G237" s="13"/>
      <c r="H237" s="14">
        <f>SUM(H238)</f>
        <v>43.5</v>
      </c>
      <c r="I237" s="14">
        <f>SUM(I238)</f>
        <v>0</v>
      </c>
      <c r="J237" s="14">
        <f>SUM(J238)</f>
        <v>0</v>
      </c>
      <c r="K237" s="15">
        <f t="shared" si="53"/>
        <v>43.5</v>
      </c>
      <c r="L237" s="15">
        <f>SUM(L238)</f>
        <v>43.5</v>
      </c>
      <c r="M237" s="16">
        <f t="shared" si="43"/>
        <v>100</v>
      </c>
      <c r="N237" s="14">
        <f>SUM(N238)</f>
        <v>0</v>
      </c>
      <c r="O237" s="14">
        <f>SUM(O238)</f>
        <v>0</v>
      </c>
    </row>
    <row r="238" spans="1:15" ht="54" customHeight="1" thickBot="1">
      <c r="A238" s="12" t="s">
        <v>273</v>
      </c>
      <c r="B238" s="13" t="s">
        <v>58</v>
      </c>
      <c r="C238" s="13" t="s">
        <v>271</v>
      </c>
      <c r="D238" s="13" t="s">
        <v>254</v>
      </c>
      <c r="E238" s="13" t="s">
        <v>19</v>
      </c>
      <c r="F238" s="13" t="s">
        <v>274</v>
      </c>
      <c r="G238" s="13" t="s">
        <v>101</v>
      </c>
      <c r="H238" s="17">
        <v>43.5</v>
      </c>
      <c r="I238" s="17"/>
      <c r="J238" s="17"/>
      <c r="K238" s="15">
        <f t="shared" si="53"/>
        <v>43.5</v>
      </c>
      <c r="L238" s="16">
        <v>43.5</v>
      </c>
      <c r="M238" s="16">
        <f t="shared" si="43"/>
        <v>100</v>
      </c>
      <c r="N238" s="17"/>
      <c r="O238" s="17"/>
    </row>
    <row r="239" spans="1:15" ht="21" customHeight="1" thickBot="1">
      <c r="A239" s="21" t="s">
        <v>275</v>
      </c>
      <c r="B239" s="13" t="s">
        <v>58</v>
      </c>
      <c r="C239" s="13"/>
      <c r="D239" s="13" t="s">
        <v>254</v>
      </c>
      <c r="E239" s="13" t="s">
        <v>42</v>
      </c>
      <c r="F239" s="13"/>
      <c r="G239" s="13"/>
      <c r="H239" s="14">
        <f>SUM(H240)</f>
        <v>451</v>
      </c>
      <c r="I239" s="14">
        <f>SUM(I240)</f>
        <v>0</v>
      </c>
      <c r="J239" s="14">
        <f>SUM(J240)</f>
        <v>-25.285419999999998</v>
      </c>
      <c r="K239" s="15">
        <f t="shared" si="53"/>
        <v>425.71458000000001</v>
      </c>
      <c r="L239" s="15">
        <f>SUM(L240)</f>
        <v>419.84868</v>
      </c>
      <c r="M239" s="16">
        <f t="shared" si="43"/>
        <v>98.62210497935024</v>
      </c>
      <c r="N239" s="14">
        <f>SUM(N240)</f>
        <v>0</v>
      </c>
      <c r="O239" s="14">
        <f>SUM(O240)</f>
        <v>0</v>
      </c>
    </row>
    <row r="240" spans="1:15" ht="32.25" thickBot="1">
      <c r="A240" s="12" t="s">
        <v>276</v>
      </c>
      <c r="B240" s="13" t="s">
        <v>58</v>
      </c>
      <c r="C240" s="13"/>
      <c r="D240" s="13" t="s">
        <v>254</v>
      </c>
      <c r="E240" s="13" t="s">
        <v>42</v>
      </c>
      <c r="F240" s="13" t="s">
        <v>272</v>
      </c>
      <c r="G240" s="13"/>
      <c r="H240" s="14">
        <f t="shared" ref="H240:J241" si="55">SUM(H242)</f>
        <v>451</v>
      </c>
      <c r="I240" s="14">
        <f t="shared" si="55"/>
        <v>0</v>
      </c>
      <c r="J240" s="14">
        <f t="shared" si="55"/>
        <v>-25.285419999999998</v>
      </c>
      <c r="K240" s="15">
        <f t="shared" si="53"/>
        <v>425.71458000000001</v>
      </c>
      <c r="L240" s="15">
        <f t="shared" ref="L240:O241" si="56">SUM(L242)</f>
        <v>419.84868</v>
      </c>
      <c r="M240" s="16">
        <f t="shared" si="43"/>
        <v>98.62210497935024</v>
      </c>
      <c r="N240" s="14">
        <f t="shared" si="56"/>
        <v>0</v>
      </c>
      <c r="O240" s="14">
        <f t="shared" si="56"/>
        <v>0</v>
      </c>
    </row>
    <row r="241" spans="1:15" ht="48" thickBot="1">
      <c r="A241" s="12" t="s">
        <v>257</v>
      </c>
      <c r="B241" s="13" t="s">
        <v>58</v>
      </c>
      <c r="C241" s="13"/>
      <c r="D241" s="13" t="s">
        <v>254</v>
      </c>
      <c r="E241" s="13" t="s">
        <v>42</v>
      </c>
      <c r="F241" s="13" t="s">
        <v>258</v>
      </c>
      <c r="G241" s="13"/>
      <c r="H241" s="14">
        <f t="shared" si="55"/>
        <v>451</v>
      </c>
      <c r="I241" s="14">
        <f t="shared" si="55"/>
        <v>0</v>
      </c>
      <c r="J241" s="14">
        <f t="shared" si="55"/>
        <v>-25.285419999999998</v>
      </c>
      <c r="K241" s="15">
        <f t="shared" si="53"/>
        <v>425.71458000000001</v>
      </c>
      <c r="L241" s="15">
        <f t="shared" si="56"/>
        <v>419.84868</v>
      </c>
      <c r="M241" s="16">
        <f t="shared" si="43"/>
        <v>98.62210497935024</v>
      </c>
      <c r="N241" s="14">
        <f t="shared" si="56"/>
        <v>0</v>
      </c>
      <c r="O241" s="14">
        <f t="shared" si="56"/>
        <v>0</v>
      </c>
    </row>
    <row r="242" spans="1:15" ht="32.25" thickBot="1">
      <c r="A242" s="12" t="s">
        <v>123</v>
      </c>
      <c r="B242" s="13" t="s">
        <v>58</v>
      </c>
      <c r="C242" s="13"/>
      <c r="D242" s="13" t="s">
        <v>254</v>
      </c>
      <c r="E242" s="13" t="s">
        <v>42</v>
      </c>
      <c r="F242" s="13" t="s">
        <v>258</v>
      </c>
      <c r="G242" s="13"/>
      <c r="H242" s="14">
        <f>SUM(H243+H244)</f>
        <v>451</v>
      </c>
      <c r="I242" s="14">
        <f>SUM(I243+I244)</f>
        <v>0</v>
      </c>
      <c r="J242" s="14">
        <f>SUM(J243+J244)</f>
        <v>-25.285419999999998</v>
      </c>
      <c r="K242" s="15">
        <f t="shared" si="53"/>
        <v>425.71458000000001</v>
      </c>
      <c r="L242" s="15">
        <f>SUM(L243+L244)</f>
        <v>419.84868</v>
      </c>
      <c r="M242" s="16">
        <f t="shared" si="43"/>
        <v>98.62210497935024</v>
      </c>
      <c r="N242" s="14">
        <f>SUM(N243+N244)</f>
        <v>0</v>
      </c>
      <c r="O242" s="14">
        <f>SUM(O243+O244)</f>
        <v>0</v>
      </c>
    </row>
    <row r="243" spans="1:15" ht="63.75" thickBot="1">
      <c r="A243" s="12" t="s">
        <v>127</v>
      </c>
      <c r="B243" s="25" t="s">
        <v>58</v>
      </c>
      <c r="C243" s="25"/>
      <c r="D243" s="22" t="s">
        <v>254</v>
      </c>
      <c r="E243" s="22" t="s">
        <v>42</v>
      </c>
      <c r="F243" s="25" t="s">
        <v>258</v>
      </c>
      <c r="G243" s="25" t="s">
        <v>126</v>
      </c>
      <c r="H243" s="17">
        <f>420+31</f>
        <v>451</v>
      </c>
      <c r="I243" s="17"/>
      <c r="J243" s="17">
        <v>-25.285419999999998</v>
      </c>
      <c r="K243" s="15">
        <f t="shared" si="53"/>
        <v>425.71458000000001</v>
      </c>
      <c r="L243" s="16">
        <v>419.84868</v>
      </c>
      <c r="M243" s="16">
        <f t="shared" si="43"/>
        <v>98.62210497935024</v>
      </c>
      <c r="N243" s="17"/>
      <c r="O243" s="17"/>
    </row>
    <row r="244" spans="1:15" ht="32.25" hidden="1" thickBot="1">
      <c r="A244" s="12" t="s">
        <v>128</v>
      </c>
      <c r="B244" s="25" t="s">
        <v>58</v>
      </c>
      <c r="C244" s="25"/>
      <c r="D244" s="22" t="s">
        <v>254</v>
      </c>
      <c r="E244" s="22" t="s">
        <v>42</v>
      </c>
      <c r="F244" s="25" t="s">
        <v>258</v>
      </c>
      <c r="G244" s="25" t="s">
        <v>101</v>
      </c>
      <c r="H244" s="17">
        <v>0</v>
      </c>
      <c r="I244" s="17"/>
      <c r="J244" s="17"/>
      <c r="K244" s="15">
        <f t="shared" si="53"/>
        <v>0</v>
      </c>
      <c r="L244" s="16">
        <v>0</v>
      </c>
      <c r="M244" s="16" t="e">
        <f t="shared" si="43"/>
        <v>#DIV/0!</v>
      </c>
      <c r="N244" s="17"/>
      <c r="O244" s="17"/>
    </row>
    <row r="245" spans="1:15" ht="32.25" thickBot="1">
      <c r="A245" s="12" t="s">
        <v>277</v>
      </c>
      <c r="B245" s="13" t="s">
        <v>58</v>
      </c>
      <c r="C245" s="13"/>
      <c r="D245" s="13" t="s">
        <v>254</v>
      </c>
      <c r="E245" s="13" t="s">
        <v>48</v>
      </c>
      <c r="F245" s="13"/>
      <c r="G245" s="13"/>
      <c r="H245" s="18">
        <f>SUM(H246)</f>
        <v>1308</v>
      </c>
      <c r="I245" s="18">
        <f>SUM(I246)</f>
        <v>0</v>
      </c>
      <c r="J245" s="18">
        <f>SUM(J246)</f>
        <v>-26.868549999999999</v>
      </c>
      <c r="K245" s="15">
        <f t="shared" si="53"/>
        <v>1281.1314500000001</v>
      </c>
      <c r="L245" s="16">
        <f>SUM(L246)</f>
        <v>1257.4520299999999</v>
      </c>
      <c r="M245" s="16">
        <f t="shared" si="43"/>
        <v>98.151679127071617</v>
      </c>
      <c r="N245" s="18">
        <f>SUM(N246)</f>
        <v>0</v>
      </c>
      <c r="O245" s="18">
        <f>SUM(O246)</f>
        <v>0</v>
      </c>
    </row>
    <row r="246" spans="1:15" ht="16.5" thickBot="1">
      <c r="A246" s="12" t="s">
        <v>278</v>
      </c>
      <c r="B246" s="13" t="s">
        <v>58</v>
      </c>
      <c r="C246" s="13"/>
      <c r="D246" s="13" t="s">
        <v>254</v>
      </c>
      <c r="E246" s="13" t="s">
        <v>48</v>
      </c>
      <c r="F246" s="13">
        <v>4520000</v>
      </c>
      <c r="G246" s="13"/>
      <c r="H246" s="14">
        <f t="shared" ref="H246:J247" si="57">SUM(H248)</f>
        <v>1308</v>
      </c>
      <c r="I246" s="14">
        <f t="shared" si="57"/>
        <v>0</v>
      </c>
      <c r="J246" s="14">
        <f t="shared" si="57"/>
        <v>-26.868549999999999</v>
      </c>
      <c r="K246" s="15">
        <f t="shared" si="53"/>
        <v>1281.1314500000001</v>
      </c>
      <c r="L246" s="15">
        <f t="shared" ref="L246:O247" si="58">SUM(L248)</f>
        <v>1257.4520299999999</v>
      </c>
      <c r="M246" s="16">
        <f t="shared" si="43"/>
        <v>98.151679127071617</v>
      </c>
      <c r="N246" s="14">
        <f t="shared" si="58"/>
        <v>0</v>
      </c>
      <c r="O246" s="14">
        <f t="shared" si="58"/>
        <v>0</v>
      </c>
    </row>
    <row r="247" spans="1:15" ht="48" thickBot="1">
      <c r="A247" s="12" t="s">
        <v>257</v>
      </c>
      <c r="B247" s="13" t="s">
        <v>58</v>
      </c>
      <c r="C247" s="13"/>
      <c r="D247" s="13" t="s">
        <v>254</v>
      </c>
      <c r="E247" s="13" t="s">
        <v>48</v>
      </c>
      <c r="F247" s="13" t="s">
        <v>279</v>
      </c>
      <c r="G247" s="13"/>
      <c r="H247" s="14">
        <f t="shared" si="57"/>
        <v>1308</v>
      </c>
      <c r="I247" s="14">
        <f t="shared" si="57"/>
        <v>0</v>
      </c>
      <c r="J247" s="14">
        <f t="shared" si="57"/>
        <v>-26.868549999999999</v>
      </c>
      <c r="K247" s="15">
        <f t="shared" si="53"/>
        <v>1281.1314500000001</v>
      </c>
      <c r="L247" s="15">
        <f t="shared" si="58"/>
        <v>1257.4520299999999</v>
      </c>
      <c r="M247" s="16">
        <f t="shared" si="43"/>
        <v>98.151679127071617</v>
      </c>
      <c r="N247" s="14">
        <f t="shared" si="58"/>
        <v>0</v>
      </c>
      <c r="O247" s="14">
        <f t="shared" si="58"/>
        <v>0</v>
      </c>
    </row>
    <row r="248" spans="1:15" ht="32.25" thickBot="1">
      <c r="A248" s="12" t="s">
        <v>123</v>
      </c>
      <c r="B248" s="13" t="s">
        <v>58</v>
      </c>
      <c r="C248" s="13"/>
      <c r="D248" s="13" t="s">
        <v>254</v>
      </c>
      <c r="E248" s="13" t="s">
        <v>48</v>
      </c>
      <c r="F248" s="13" t="s">
        <v>279</v>
      </c>
      <c r="G248" s="13"/>
      <c r="H248" s="14">
        <f>SUM(H249)</f>
        <v>1308</v>
      </c>
      <c r="I248" s="14">
        <f>SUM(I249)</f>
        <v>0</v>
      </c>
      <c r="J248" s="14">
        <f>SUM(J249)</f>
        <v>-26.868549999999999</v>
      </c>
      <c r="K248" s="15">
        <f t="shared" si="53"/>
        <v>1281.1314500000001</v>
      </c>
      <c r="L248" s="15">
        <f>SUM(L249)</f>
        <v>1257.4520299999999</v>
      </c>
      <c r="M248" s="16">
        <f t="shared" si="43"/>
        <v>98.151679127071617</v>
      </c>
      <c r="N248" s="14">
        <f>SUM(N249)</f>
        <v>0</v>
      </c>
      <c r="O248" s="14">
        <f>SUM(O249)</f>
        <v>0</v>
      </c>
    </row>
    <row r="249" spans="1:15" ht="63.75" thickBot="1">
      <c r="A249" s="12" t="s">
        <v>127</v>
      </c>
      <c r="B249" s="13" t="s">
        <v>58</v>
      </c>
      <c r="C249" s="13"/>
      <c r="D249" s="13" t="s">
        <v>254</v>
      </c>
      <c r="E249" s="13" t="s">
        <v>48</v>
      </c>
      <c r="F249" s="13" t="s">
        <v>279</v>
      </c>
      <c r="G249" s="13" t="s">
        <v>126</v>
      </c>
      <c r="H249" s="17">
        <f>1047+150+111</f>
        <v>1308</v>
      </c>
      <c r="I249" s="17"/>
      <c r="J249" s="17">
        <v>-26.868549999999999</v>
      </c>
      <c r="K249" s="15">
        <f t="shared" si="53"/>
        <v>1281.1314500000001</v>
      </c>
      <c r="L249" s="16">
        <v>1257.4520299999999</v>
      </c>
      <c r="M249" s="16">
        <f t="shared" si="43"/>
        <v>98.151679127071617</v>
      </c>
      <c r="N249" s="17"/>
      <c r="O249" s="17"/>
    </row>
    <row r="250" spans="1:15" ht="32.25" hidden="1" thickBot="1">
      <c r="A250" s="12" t="s">
        <v>128</v>
      </c>
      <c r="B250" s="13" t="s">
        <v>58</v>
      </c>
      <c r="C250" s="13"/>
      <c r="D250" s="13" t="s">
        <v>254</v>
      </c>
      <c r="E250" s="13" t="s">
        <v>48</v>
      </c>
      <c r="F250" s="13" t="s">
        <v>279</v>
      </c>
      <c r="G250" s="13" t="s">
        <v>101</v>
      </c>
      <c r="H250" s="17">
        <v>0</v>
      </c>
      <c r="I250" s="17"/>
      <c r="J250" s="17"/>
      <c r="K250" s="15">
        <f t="shared" si="53"/>
        <v>0</v>
      </c>
      <c r="L250" s="16">
        <v>0</v>
      </c>
      <c r="M250" s="16" t="e">
        <f t="shared" si="43"/>
        <v>#DIV/0!</v>
      </c>
      <c r="N250" s="17"/>
      <c r="O250" s="17"/>
    </row>
    <row r="251" spans="1:15" ht="16.5" thickBot="1">
      <c r="A251" s="12" t="s">
        <v>280</v>
      </c>
      <c r="B251" s="13">
        <v>902</v>
      </c>
      <c r="C251" s="13"/>
      <c r="D251" s="13" t="s">
        <v>140</v>
      </c>
      <c r="E251" s="13"/>
      <c r="F251" s="13"/>
      <c r="G251" s="13"/>
      <c r="H251" s="20">
        <f>SUM(H252+H257)</f>
        <v>18929.87184</v>
      </c>
      <c r="I251" s="20">
        <f>SUM(I252+I257)</f>
        <v>-161.6</v>
      </c>
      <c r="J251" s="20">
        <f>SUM(J252+J257)</f>
        <v>0</v>
      </c>
      <c r="K251" s="15">
        <f t="shared" si="53"/>
        <v>18768.271840000001</v>
      </c>
      <c r="L251" s="15">
        <f>SUM(L252+L257)</f>
        <v>5619.7708400000001</v>
      </c>
      <c r="M251" s="16">
        <f t="shared" si="43"/>
        <v>29.942931815505929</v>
      </c>
      <c r="N251" s="20">
        <f>SUM(N252+N257)</f>
        <v>0</v>
      </c>
      <c r="O251" s="20">
        <f>SUM(O252+O257)</f>
        <v>0</v>
      </c>
    </row>
    <row r="252" spans="1:15" ht="27.75" customHeight="1" thickBot="1">
      <c r="A252" s="12" t="s">
        <v>281</v>
      </c>
      <c r="B252" s="13">
        <v>902</v>
      </c>
      <c r="C252" s="13"/>
      <c r="D252" s="13" t="s">
        <v>140</v>
      </c>
      <c r="E252" s="13" t="s">
        <v>19</v>
      </c>
      <c r="F252" s="13"/>
      <c r="G252" s="13"/>
      <c r="H252" s="14">
        <f t="shared" ref="H252:O253" si="59">SUM(H253)</f>
        <v>7212.0789999999997</v>
      </c>
      <c r="I252" s="14">
        <f t="shared" si="59"/>
        <v>0</v>
      </c>
      <c r="J252" s="14">
        <f t="shared" si="59"/>
        <v>0</v>
      </c>
      <c r="K252" s="15">
        <f t="shared" si="53"/>
        <v>7212.0789999999997</v>
      </c>
      <c r="L252" s="15">
        <f t="shared" si="59"/>
        <v>12.079000000000001</v>
      </c>
      <c r="M252" s="16">
        <f t="shared" si="43"/>
        <v>0.16748291304074736</v>
      </c>
      <c r="N252" s="14">
        <f t="shared" si="59"/>
        <v>0</v>
      </c>
      <c r="O252" s="14">
        <f t="shared" si="59"/>
        <v>0</v>
      </c>
    </row>
    <row r="253" spans="1:15" ht="48" thickBot="1">
      <c r="A253" s="12" t="s">
        <v>282</v>
      </c>
      <c r="B253" s="13">
        <v>902</v>
      </c>
      <c r="C253" s="13"/>
      <c r="D253" s="13" t="s">
        <v>140</v>
      </c>
      <c r="E253" s="13" t="s">
        <v>19</v>
      </c>
      <c r="F253" s="13" t="s">
        <v>283</v>
      </c>
      <c r="G253" s="13"/>
      <c r="H253" s="14">
        <f t="shared" si="59"/>
        <v>7212.0789999999997</v>
      </c>
      <c r="I253" s="14">
        <f t="shared" si="59"/>
        <v>0</v>
      </c>
      <c r="J253" s="14">
        <f t="shared" si="59"/>
        <v>0</v>
      </c>
      <c r="K253" s="15">
        <f t="shared" si="53"/>
        <v>7212.0789999999997</v>
      </c>
      <c r="L253" s="15">
        <f t="shared" si="59"/>
        <v>12.079000000000001</v>
      </c>
      <c r="M253" s="16">
        <f t="shared" si="43"/>
        <v>0.16748291304074736</v>
      </c>
      <c r="N253" s="14">
        <f t="shared" si="59"/>
        <v>0</v>
      </c>
      <c r="O253" s="14">
        <f t="shared" si="59"/>
        <v>0</v>
      </c>
    </row>
    <row r="254" spans="1:15" ht="48" thickBot="1">
      <c r="A254" s="12" t="s">
        <v>284</v>
      </c>
      <c r="B254" s="13">
        <v>902</v>
      </c>
      <c r="C254" s="13"/>
      <c r="D254" s="13" t="s">
        <v>140</v>
      </c>
      <c r="E254" s="13" t="s">
        <v>19</v>
      </c>
      <c r="F254" s="13" t="s">
        <v>85</v>
      </c>
      <c r="G254" s="13"/>
      <c r="H254" s="14">
        <f t="shared" ref="H254:O254" si="60">SUM(H255:H256)</f>
        <v>7212.0789999999997</v>
      </c>
      <c r="I254" s="14">
        <f t="shared" si="60"/>
        <v>0</v>
      </c>
      <c r="J254" s="14">
        <f t="shared" si="60"/>
        <v>0</v>
      </c>
      <c r="K254" s="15">
        <f t="shared" si="60"/>
        <v>7212.0789999999997</v>
      </c>
      <c r="L254" s="15">
        <f t="shared" si="60"/>
        <v>12.079000000000001</v>
      </c>
      <c r="M254" s="16">
        <f t="shared" si="43"/>
        <v>0.16748291304074736</v>
      </c>
      <c r="N254" s="14">
        <f t="shared" si="60"/>
        <v>0</v>
      </c>
      <c r="O254" s="14">
        <f t="shared" si="60"/>
        <v>0</v>
      </c>
    </row>
    <row r="255" spans="1:15" ht="42" customHeight="1" thickBot="1">
      <c r="A255" s="12" t="s">
        <v>284</v>
      </c>
      <c r="B255" s="13">
        <v>902</v>
      </c>
      <c r="C255" s="13"/>
      <c r="D255" s="13" t="s">
        <v>140</v>
      </c>
      <c r="E255" s="13" t="s">
        <v>19</v>
      </c>
      <c r="F255" s="13" t="s">
        <v>85</v>
      </c>
      <c r="G255" s="13" t="s">
        <v>86</v>
      </c>
      <c r="H255" s="17">
        <v>7200</v>
      </c>
      <c r="I255" s="17"/>
      <c r="J255" s="17"/>
      <c r="K255" s="15">
        <f t="shared" si="53"/>
        <v>7200</v>
      </c>
      <c r="L255" s="16"/>
      <c r="M255" s="16">
        <f t="shared" si="43"/>
        <v>0</v>
      </c>
      <c r="N255" s="17"/>
      <c r="O255" s="17"/>
    </row>
    <row r="256" spans="1:15" ht="42" customHeight="1" thickBot="1">
      <c r="A256" s="12" t="s">
        <v>284</v>
      </c>
      <c r="B256" s="13">
        <v>902</v>
      </c>
      <c r="C256" s="13"/>
      <c r="D256" s="13" t="s">
        <v>140</v>
      </c>
      <c r="E256" s="13" t="s">
        <v>19</v>
      </c>
      <c r="F256" s="13" t="s">
        <v>85</v>
      </c>
      <c r="G256" s="13" t="s">
        <v>173</v>
      </c>
      <c r="H256" s="17">
        <v>12.079000000000001</v>
      </c>
      <c r="I256" s="17"/>
      <c r="J256" s="17"/>
      <c r="K256" s="15">
        <f>SUM(H256:J256)</f>
        <v>12.079000000000001</v>
      </c>
      <c r="L256" s="16">
        <v>12.079000000000001</v>
      </c>
      <c r="M256" s="16">
        <f t="shared" si="43"/>
        <v>100</v>
      </c>
      <c r="N256" s="17"/>
      <c r="O256" s="17"/>
    </row>
    <row r="257" spans="1:15" ht="16.5" thickBot="1">
      <c r="A257" s="12" t="s">
        <v>285</v>
      </c>
      <c r="B257" s="13">
        <v>902</v>
      </c>
      <c r="C257" s="13"/>
      <c r="D257" s="13" t="s">
        <v>140</v>
      </c>
      <c r="E257" s="13" t="s">
        <v>42</v>
      </c>
      <c r="F257" s="13"/>
      <c r="G257" s="13"/>
      <c r="H257" s="14">
        <f>SUM(H258)</f>
        <v>11717.79284</v>
      </c>
      <c r="I257" s="14">
        <f>SUM(I258)</f>
        <v>-161.6</v>
      </c>
      <c r="J257" s="14">
        <f>SUM(J258)</f>
        <v>0</v>
      </c>
      <c r="K257" s="15">
        <f t="shared" si="53"/>
        <v>11556.19284</v>
      </c>
      <c r="L257" s="15">
        <f>SUM(L258)</f>
        <v>5607.6918400000004</v>
      </c>
      <c r="M257" s="16">
        <f t="shared" si="43"/>
        <v>48.525426302941483</v>
      </c>
      <c r="N257" s="14">
        <f>SUM(N258)</f>
        <v>0</v>
      </c>
      <c r="O257" s="14">
        <f>SUM(O258)</f>
        <v>0</v>
      </c>
    </row>
    <row r="258" spans="1:15" ht="16.5" thickBot="1">
      <c r="A258" s="12" t="s">
        <v>286</v>
      </c>
      <c r="B258" s="13" t="s">
        <v>58</v>
      </c>
      <c r="C258" s="13"/>
      <c r="D258" s="13" t="s">
        <v>140</v>
      </c>
      <c r="E258" s="13" t="s">
        <v>42</v>
      </c>
      <c r="F258" s="13"/>
      <c r="G258" s="13"/>
      <c r="H258" s="18">
        <f>SUM(H259:H262)</f>
        <v>11717.79284</v>
      </c>
      <c r="I258" s="18">
        <f>SUM(I259:I262)</f>
        <v>-161.6</v>
      </c>
      <c r="J258" s="18">
        <f>SUM(J259:J262)</f>
        <v>0</v>
      </c>
      <c r="K258" s="15">
        <f t="shared" si="53"/>
        <v>11556.19284</v>
      </c>
      <c r="L258" s="16">
        <f>SUM(L259:L262)</f>
        <v>5607.6918400000004</v>
      </c>
      <c r="M258" s="16">
        <f t="shared" si="43"/>
        <v>48.525426302941483</v>
      </c>
      <c r="N258" s="18">
        <f>SUM(N259:N262)</f>
        <v>0</v>
      </c>
      <c r="O258" s="18">
        <f>SUM(O259:O262)</f>
        <v>0</v>
      </c>
    </row>
    <row r="259" spans="1:15" ht="48" thickBot="1">
      <c r="A259" s="12" t="s">
        <v>129</v>
      </c>
      <c r="B259" s="13" t="s">
        <v>58</v>
      </c>
      <c r="C259" s="13"/>
      <c r="D259" s="13" t="s">
        <v>140</v>
      </c>
      <c r="E259" s="13" t="s">
        <v>42</v>
      </c>
      <c r="F259" s="13" t="s">
        <v>85</v>
      </c>
      <c r="G259" s="13" t="s">
        <v>173</v>
      </c>
      <c r="H259" s="17">
        <v>4</v>
      </c>
      <c r="I259" s="17"/>
      <c r="J259" s="17"/>
      <c r="K259" s="15">
        <f t="shared" si="53"/>
        <v>4</v>
      </c>
      <c r="L259" s="16">
        <v>4</v>
      </c>
      <c r="M259" s="16">
        <f t="shared" si="43"/>
        <v>100</v>
      </c>
      <c r="N259" s="17"/>
      <c r="O259" s="17"/>
    </row>
    <row r="260" spans="1:15" ht="48" thickBot="1">
      <c r="A260" s="12" t="s">
        <v>287</v>
      </c>
      <c r="B260" s="13" t="s">
        <v>58</v>
      </c>
      <c r="C260" s="13" t="s">
        <v>288</v>
      </c>
      <c r="D260" s="13" t="s">
        <v>140</v>
      </c>
      <c r="E260" s="13" t="s">
        <v>42</v>
      </c>
      <c r="F260" s="13" t="s">
        <v>289</v>
      </c>
      <c r="G260" s="13" t="s">
        <v>290</v>
      </c>
      <c r="H260" s="17">
        <v>161.6</v>
      </c>
      <c r="I260" s="17">
        <v>-161.6</v>
      </c>
      <c r="J260" s="17"/>
      <c r="K260" s="15">
        <f t="shared" si="53"/>
        <v>0</v>
      </c>
      <c r="L260" s="16">
        <v>0</v>
      </c>
      <c r="M260" s="16">
        <v>0</v>
      </c>
      <c r="N260" s="17"/>
      <c r="O260" s="17"/>
    </row>
    <row r="261" spans="1:15" ht="77.25" customHeight="1" thickBot="1">
      <c r="A261" s="12" t="s">
        <v>174</v>
      </c>
      <c r="B261" s="13" t="s">
        <v>58</v>
      </c>
      <c r="C261" s="13"/>
      <c r="D261" s="13" t="s">
        <v>140</v>
      </c>
      <c r="E261" s="13" t="s">
        <v>42</v>
      </c>
      <c r="F261" s="13" t="s">
        <v>291</v>
      </c>
      <c r="G261" s="13" t="s">
        <v>290</v>
      </c>
      <c r="H261" s="17">
        <v>5948.5</v>
      </c>
      <c r="I261" s="17"/>
      <c r="J261" s="17"/>
      <c r="K261" s="15">
        <f>SUM(H261:J261)</f>
        <v>5948.5</v>
      </c>
      <c r="L261" s="16">
        <v>0</v>
      </c>
      <c r="M261" s="16">
        <f t="shared" si="43"/>
        <v>0</v>
      </c>
      <c r="N261" s="17"/>
      <c r="O261" s="17"/>
    </row>
    <row r="262" spans="1:15" ht="72.75" customHeight="1" thickBot="1">
      <c r="A262" s="12" t="s">
        <v>174</v>
      </c>
      <c r="B262" s="13" t="s">
        <v>58</v>
      </c>
      <c r="C262" s="13"/>
      <c r="D262" s="13" t="s">
        <v>140</v>
      </c>
      <c r="E262" s="13" t="s">
        <v>42</v>
      </c>
      <c r="F262" s="13" t="s">
        <v>291</v>
      </c>
      <c r="G262" s="13" t="s">
        <v>86</v>
      </c>
      <c r="H262" s="17">
        <f>5346+257.69284</f>
        <v>5603.6928399999997</v>
      </c>
      <c r="I262" s="17"/>
      <c r="J262" s="17"/>
      <c r="K262" s="15">
        <f t="shared" si="53"/>
        <v>5603.6928399999997</v>
      </c>
      <c r="L262" s="16">
        <v>5603.6918400000004</v>
      </c>
      <c r="M262" s="16">
        <f t="shared" si="43"/>
        <v>99.99998215462503</v>
      </c>
      <c r="N262" s="17"/>
      <c r="O262" s="17"/>
    </row>
    <row r="263" spans="1:15" ht="16.5" thickBot="1">
      <c r="A263" s="12" t="s">
        <v>292</v>
      </c>
      <c r="B263" s="13">
        <v>902</v>
      </c>
      <c r="C263" s="13"/>
      <c r="D263" s="13">
        <v>10</v>
      </c>
      <c r="E263" s="13"/>
      <c r="F263" s="13"/>
      <c r="G263" s="13"/>
      <c r="H263" s="19">
        <f>SUM(H264+H267+H279)</f>
        <v>16933</v>
      </c>
      <c r="I263" s="19">
        <f>SUM(I264+I267+I279)</f>
        <v>-48.987819999999999</v>
      </c>
      <c r="J263" s="19">
        <f>SUM(J264+J267+J279)</f>
        <v>-67.647999999999996</v>
      </c>
      <c r="K263" s="15">
        <f t="shared" si="53"/>
        <v>16816.36418</v>
      </c>
      <c r="L263" s="16">
        <f>SUM(L264+L267+L279)</f>
        <v>14087.222030000001</v>
      </c>
      <c r="M263" s="16">
        <f t="shared" si="43"/>
        <v>83.770914326143014</v>
      </c>
      <c r="N263" s="19">
        <f>SUM(N264+N267+N279)</f>
        <v>0</v>
      </c>
      <c r="O263" s="19">
        <f>SUM(O264+O267+O279)</f>
        <v>0</v>
      </c>
    </row>
    <row r="264" spans="1:15" ht="16.5" thickBot="1">
      <c r="A264" s="12" t="s">
        <v>293</v>
      </c>
      <c r="B264" s="13">
        <v>902</v>
      </c>
      <c r="C264" s="13"/>
      <c r="D264" s="13">
        <v>10</v>
      </c>
      <c r="E264" s="13" t="s">
        <v>19</v>
      </c>
      <c r="F264" s="13"/>
      <c r="G264" s="13"/>
      <c r="H264" s="14">
        <f t="shared" ref="H264:O265" si="61">SUM(H265)</f>
        <v>500</v>
      </c>
      <c r="I264" s="14">
        <f t="shared" si="61"/>
        <v>0</v>
      </c>
      <c r="J264" s="14">
        <f t="shared" si="61"/>
        <v>0</v>
      </c>
      <c r="K264" s="15">
        <f t="shared" si="53"/>
        <v>500</v>
      </c>
      <c r="L264" s="15">
        <f t="shared" si="61"/>
        <v>495.06490000000002</v>
      </c>
      <c r="M264" s="16">
        <f t="shared" si="43"/>
        <v>99.012979999999999</v>
      </c>
      <c r="N264" s="14">
        <f t="shared" si="61"/>
        <v>0</v>
      </c>
      <c r="O264" s="14">
        <f t="shared" si="61"/>
        <v>0</v>
      </c>
    </row>
    <row r="265" spans="1:15" ht="48" thickBot="1">
      <c r="A265" s="12" t="s">
        <v>294</v>
      </c>
      <c r="B265" s="13">
        <v>902</v>
      </c>
      <c r="C265" s="13"/>
      <c r="D265" s="13">
        <v>10</v>
      </c>
      <c r="E265" s="13" t="s">
        <v>19</v>
      </c>
      <c r="F265" s="13">
        <v>4910100</v>
      </c>
      <c r="G265" s="13"/>
      <c r="H265" s="14">
        <f t="shared" si="61"/>
        <v>500</v>
      </c>
      <c r="I265" s="14">
        <f t="shared" si="61"/>
        <v>0</v>
      </c>
      <c r="J265" s="14">
        <f t="shared" si="61"/>
        <v>0</v>
      </c>
      <c r="K265" s="15">
        <f t="shared" si="53"/>
        <v>500</v>
      </c>
      <c r="L265" s="15">
        <f t="shared" si="61"/>
        <v>495.06490000000002</v>
      </c>
      <c r="M265" s="16">
        <f t="shared" si="43"/>
        <v>99.012979999999999</v>
      </c>
      <c r="N265" s="14">
        <f t="shared" si="61"/>
        <v>0</v>
      </c>
      <c r="O265" s="14">
        <f t="shared" si="61"/>
        <v>0</v>
      </c>
    </row>
    <row r="266" spans="1:15" ht="16.5" thickBot="1">
      <c r="A266" s="12" t="s">
        <v>295</v>
      </c>
      <c r="B266" s="13">
        <v>902</v>
      </c>
      <c r="C266" s="13"/>
      <c r="D266" s="13">
        <v>10</v>
      </c>
      <c r="E266" s="13" t="s">
        <v>19</v>
      </c>
      <c r="F266" s="13">
        <v>4910100</v>
      </c>
      <c r="G266" s="13" t="s">
        <v>194</v>
      </c>
      <c r="H266" s="17">
        <v>500</v>
      </c>
      <c r="I266" s="17"/>
      <c r="J266" s="17"/>
      <c r="K266" s="15">
        <f t="shared" si="53"/>
        <v>500</v>
      </c>
      <c r="L266" s="16">
        <v>495.06490000000002</v>
      </c>
      <c r="M266" s="16">
        <f t="shared" si="43"/>
        <v>99.012979999999999</v>
      </c>
      <c r="N266" s="17"/>
      <c r="O266" s="17"/>
    </row>
    <row r="267" spans="1:15" ht="16.5" thickBot="1">
      <c r="A267" s="12" t="s">
        <v>296</v>
      </c>
      <c r="B267" s="13">
        <v>902</v>
      </c>
      <c r="C267" s="13"/>
      <c r="D267" s="13">
        <v>10</v>
      </c>
      <c r="E267" s="13" t="s">
        <v>21</v>
      </c>
      <c r="F267" s="13"/>
      <c r="G267" s="13"/>
      <c r="H267" s="14">
        <f>SUM(H268+H276)</f>
        <v>11032</v>
      </c>
      <c r="I267" s="14">
        <f>SUM(I268+I276)</f>
        <v>1.218E-2</v>
      </c>
      <c r="J267" s="14">
        <f>SUM(J268+J276)</f>
        <v>-67.647999999999996</v>
      </c>
      <c r="K267" s="15">
        <f t="shared" si="53"/>
        <v>10964.36418</v>
      </c>
      <c r="L267" s="15">
        <f>SUM(L268+L276)</f>
        <v>9126.6171300000005</v>
      </c>
      <c r="M267" s="16">
        <f t="shared" si="43"/>
        <v>83.23890907096812</v>
      </c>
      <c r="N267" s="14">
        <f>SUM(N268+N276)</f>
        <v>0</v>
      </c>
      <c r="O267" s="14">
        <f>SUM(O268+O276)</f>
        <v>0</v>
      </c>
    </row>
    <row r="268" spans="1:15" ht="16.5" thickBot="1">
      <c r="A268" s="12" t="s">
        <v>297</v>
      </c>
      <c r="B268" s="13">
        <v>902</v>
      </c>
      <c r="C268" s="13"/>
      <c r="D268" s="13">
        <v>10</v>
      </c>
      <c r="E268" s="13" t="s">
        <v>21</v>
      </c>
      <c r="F268" s="13">
        <v>5050000</v>
      </c>
      <c r="G268" s="13"/>
      <c r="H268" s="14">
        <f>SUM(H269+H273)</f>
        <v>10832</v>
      </c>
      <c r="I268" s="14">
        <f>SUM(I269+I273)</f>
        <v>1.218E-2</v>
      </c>
      <c r="J268" s="14">
        <f>SUM(J269+J273)</f>
        <v>0</v>
      </c>
      <c r="K268" s="15">
        <f t="shared" si="53"/>
        <v>10832.01218</v>
      </c>
      <c r="L268" s="15">
        <f>SUM(L269+L273)</f>
        <v>8994.2651299999998</v>
      </c>
      <c r="M268" s="16">
        <f t="shared" ref="M268:M309" si="62">SUM(L268/K268)*100</f>
        <v>83.034112042514337</v>
      </c>
      <c r="N268" s="14">
        <f>SUM(N269+N273)</f>
        <v>0</v>
      </c>
      <c r="O268" s="14">
        <f>SUM(O269+O273)</f>
        <v>0</v>
      </c>
    </row>
    <row r="269" spans="1:15" ht="32.25" thickBot="1">
      <c r="A269" s="12" t="s">
        <v>298</v>
      </c>
      <c r="B269" s="13">
        <v>902</v>
      </c>
      <c r="C269" s="13"/>
      <c r="D269" s="13">
        <v>10</v>
      </c>
      <c r="E269" s="13" t="s">
        <v>21</v>
      </c>
      <c r="F269" s="13" t="s">
        <v>299</v>
      </c>
      <c r="G269" s="13"/>
      <c r="H269" s="14">
        <f>SUM(H270:H272)</f>
        <v>5254</v>
      </c>
      <c r="I269" s="14">
        <f>SUM(I270:I272)</f>
        <v>0</v>
      </c>
      <c r="J269" s="14">
        <f>SUM(J270:J272)</f>
        <v>0</v>
      </c>
      <c r="K269" s="15">
        <f t="shared" si="53"/>
        <v>5254</v>
      </c>
      <c r="L269" s="15">
        <f>SUM(L270:L272)</f>
        <v>3417.2094800000004</v>
      </c>
      <c r="M269" s="16">
        <f t="shared" si="62"/>
        <v>65.040149980966888</v>
      </c>
      <c r="N269" s="14">
        <f>SUM(N270:N272)</f>
        <v>0</v>
      </c>
      <c r="O269" s="14">
        <f>SUM(O270:O272)</f>
        <v>0</v>
      </c>
    </row>
    <row r="270" spans="1:15" ht="16.5" thickBot="1">
      <c r="A270" s="12" t="s">
        <v>300</v>
      </c>
      <c r="B270" s="13">
        <v>902</v>
      </c>
      <c r="C270" s="13"/>
      <c r="D270" s="13">
        <v>10</v>
      </c>
      <c r="E270" s="13" t="s">
        <v>21</v>
      </c>
      <c r="F270" s="13" t="s">
        <v>299</v>
      </c>
      <c r="G270" s="13" t="s">
        <v>194</v>
      </c>
      <c r="H270" s="17">
        <v>4182.6000000000004</v>
      </c>
      <c r="I270" s="17"/>
      <c r="J270" s="17"/>
      <c r="K270" s="15">
        <f t="shared" si="53"/>
        <v>4182.6000000000004</v>
      </c>
      <c r="L270" s="16">
        <v>2570.2330400000001</v>
      </c>
      <c r="M270" s="16">
        <f t="shared" si="62"/>
        <v>61.450605843255389</v>
      </c>
      <c r="N270" s="17"/>
      <c r="O270" s="17"/>
    </row>
    <row r="271" spans="1:15" ht="16.5" thickBot="1">
      <c r="A271" s="12" t="s">
        <v>301</v>
      </c>
      <c r="B271" s="13">
        <v>902</v>
      </c>
      <c r="C271" s="13"/>
      <c r="D271" s="13">
        <v>10</v>
      </c>
      <c r="E271" s="13" t="s">
        <v>21</v>
      </c>
      <c r="F271" s="13" t="s">
        <v>299</v>
      </c>
      <c r="G271" s="13" t="s">
        <v>194</v>
      </c>
      <c r="H271" s="17">
        <v>1047.5</v>
      </c>
      <c r="I271" s="17"/>
      <c r="J271" s="17"/>
      <c r="K271" s="15">
        <f t="shared" si="53"/>
        <v>1047.5</v>
      </c>
      <c r="L271" s="16">
        <v>830.17916000000002</v>
      </c>
      <c r="M271" s="16">
        <f t="shared" si="62"/>
        <v>79.253380429594273</v>
      </c>
      <c r="N271" s="17"/>
      <c r="O271" s="17"/>
    </row>
    <row r="272" spans="1:15" ht="16.5" thickBot="1">
      <c r="A272" s="12" t="s">
        <v>302</v>
      </c>
      <c r="B272" s="13">
        <v>902</v>
      </c>
      <c r="C272" s="13" t="s">
        <v>303</v>
      </c>
      <c r="D272" s="13">
        <v>10</v>
      </c>
      <c r="E272" s="13" t="s">
        <v>21</v>
      </c>
      <c r="F272" s="13" t="s">
        <v>299</v>
      </c>
      <c r="G272" s="13" t="s">
        <v>194</v>
      </c>
      <c r="H272" s="17">
        <v>23.9</v>
      </c>
      <c r="I272" s="17"/>
      <c r="J272" s="17"/>
      <c r="K272" s="15">
        <f t="shared" si="53"/>
        <v>23.9</v>
      </c>
      <c r="L272" s="16">
        <v>16.797280000000001</v>
      </c>
      <c r="M272" s="16">
        <f t="shared" si="62"/>
        <v>70.281506276150623</v>
      </c>
      <c r="N272" s="17"/>
      <c r="O272" s="17"/>
    </row>
    <row r="273" spans="1:15" ht="32.25" thickBot="1">
      <c r="A273" s="12" t="s">
        <v>304</v>
      </c>
      <c r="B273" s="13">
        <v>902</v>
      </c>
      <c r="C273" s="13"/>
      <c r="D273" s="13">
        <v>10</v>
      </c>
      <c r="E273" s="13" t="s">
        <v>21</v>
      </c>
      <c r="F273" s="13" t="s">
        <v>305</v>
      </c>
      <c r="G273" s="13"/>
      <c r="H273" s="14">
        <f>SUM(H274+H275)</f>
        <v>5578</v>
      </c>
      <c r="I273" s="14">
        <f>SUM(I274+I275)</f>
        <v>1.218E-2</v>
      </c>
      <c r="J273" s="14">
        <f>SUM(J274+J275)</f>
        <v>0</v>
      </c>
      <c r="K273" s="15">
        <f t="shared" si="53"/>
        <v>5578.0121799999997</v>
      </c>
      <c r="L273" s="15">
        <f>SUM(L274+L275)</f>
        <v>5577.0556500000002</v>
      </c>
      <c r="M273" s="16">
        <f t="shared" si="62"/>
        <v>99.982851776419039</v>
      </c>
      <c r="N273" s="14">
        <f>SUM(N274+N275)</f>
        <v>0</v>
      </c>
      <c r="O273" s="14">
        <f>SUM(O274+O275)</f>
        <v>0</v>
      </c>
    </row>
    <row r="274" spans="1:15" ht="16.5" thickBot="1">
      <c r="A274" s="12" t="s">
        <v>295</v>
      </c>
      <c r="B274" s="13">
        <v>902</v>
      </c>
      <c r="C274" s="13"/>
      <c r="D274" s="13">
        <v>10</v>
      </c>
      <c r="E274" s="13" t="s">
        <v>21</v>
      </c>
      <c r="F274" s="13" t="s">
        <v>305</v>
      </c>
      <c r="G274" s="13" t="s">
        <v>194</v>
      </c>
      <c r="H274" s="17">
        <f>7946.775-3000</f>
        <v>4946.7749999999996</v>
      </c>
      <c r="I274" s="17">
        <f>0.01218</f>
        <v>1.218E-2</v>
      </c>
      <c r="J274" s="17"/>
      <c r="K274" s="15">
        <f t="shared" si="53"/>
        <v>4946.7871799999994</v>
      </c>
      <c r="L274" s="16">
        <v>4945.8306499999999</v>
      </c>
      <c r="M274" s="16">
        <f t="shared" si="62"/>
        <v>99.980663611245163</v>
      </c>
      <c r="N274" s="17"/>
      <c r="O274" s="17"/>
    </row>
    <row r="275" spans="1:15" ht="32.25" thickBot="1">
      <c r="A275" s="12" t="s">
        <v>46</v>
      </c>
      <c r="B275" s="13">
        <v>902</v>
      </c>
      <c r="C275" s="13"/>
      <c r="D275" s="13">
        <v>10</v>
      </c>
      <c r="E275" s="13" t="s">
        <v>21</v>
      </c>
      <c r="F275" s="13" t="s">
        <v>305</v>
      </c>
      <c r="G275" s="13" t="s">
        <v>30</v>
      </c>
      <c r="H275" s="17">
        <v>631.22500000000002</v>
      </c>
      <c r="I275" s="17"/>
      <c r="J275" s="17"/>
      <c r="K275" s="15">
        <f t="shared" si="53"/>
        <v>631.22500000000002</v>
      </c>
      <c r="L275" s="16">
        <v>631.22500000000002</v>
      </c>
      <c r="M275" s="16">
        <f t="shared" si="62"/>
        <v>100</v>
      </c>
      <c r="N275" s="17"/>
      <c r="O275" s="17"/>
    </row>
    <row r="276" spans="1:15" ht="27.75" customHeight="1" thickBot="1">
      <c r="A276" s="21" t="s">
        <v>57</v>
      </c>
      <c r="B276" s="25">
        <v>902</v>
      </c>
      <c r="C276" s="25"/>
      <c r="D276" s="25">
        <v>10</v>
      </c>
      <c r="E276" s="25" t="s">
        <v>21</v>
      </c>
      <c r="F276" s="25">
        <v>7950000</v>
      </c>
      <c r="G276" s="25"/>
      <c r="H276" s="14">
        <f>SUM(H277:H278)</f>
        <v>200</v>
      </c>
      <c r="I276" s="14">
        <f>SUM(I277:I278)</f>
        <v>0</v>
      </c>
      <c r="J276" s="14">
        <f>SUM(J277:J278)</f>
        <v>-67.647999999999996</v>
      </c>
      <c r="K276" s="15">
        <f t="shared" si="53"/>
        <v>132.352</v>
      </c>
      <c r="L276" s="15">
        <f>SUM(L277:L278)</f>
        <v>132.352</v>
      </c>
      <c r="M276" s="16">
        <f t="shared" si="62"/>
        <v>100</v>
      </c>
      <c r="N276" s="14">
        <f>SUM(N277:N278)</f>
        <v>0</v>
      </c>
      <c r="O276" s="14">
        <f>SUM(O277:O278)</f>
        <v>0</v>
      </c>
    </row>
    <row r="277" spans="1:15" ht="95.25" thickBot="1">
      <c r="A277" s="12" t="s">
        <v>306</v>
      </c>
      <c r="B277" s="13">
        <v>902</v>
      </c>
      <c r="C277" s="13" t="s">
        <v>307</v>
      </c>
      <c r="D277" s="13">
        <v>10</v>
      </c>
      <c r="E277" s="13" t="s">
        <v>21</v>
      </c>
      <c r="F277" s="13">
        <v>7950000</v>
      </c>
      <c r="G277" s="13" t="s">
        <v>30</v>
      </c>
      <c r="H277" s="17">
        <v>100</v>
      </c>
      <c r="I277" s="17"/>
      <c r="J277" s="17">
        <v>-45.067999999999998</v>
      </c>
      <c r="K277" s="15">
        <f t="shared" si="53"/>
        <v>54.932000000000002</v>
      </c>
      <c r="L277" s="16">
        <v>54.932000000000002</v>
      </c>
      <c r="M277" s="16">
        <f t="shared" si="62"/>
        <v>100</v>
      </c>
      <c r="N277" s="17"/>
      <c r="O277" s="17"/>
    </row>
    <row r="278" spans="1:15" ht="16.5" thickBot="1">
      <c r="A278" s="12" t="s">
        <v>308</v>
      </c>
      <c r="B278" s="13" t="s">
        <v>58</v>
      </c>
      <c r="C278" s="13" t="s">
        <v>309</v>
      </c>
      <c r="D278" s="13">
        <v>10</v>
      </c>
      <c r="E278" s="13" t="s">
        <v>21</v>
      </c>
      <c r="F278" s="13">
        <v>7950000</v>
      </c>
      <c r="G278" s="13" t="s">
        <v>30</v>
      </c>
      <c r="H278" s="17">
        <v>100</v>
      </c>
      <c r="I278" s="17"/>
      <c r="J278" s="17">
        <v>-22.58</v>
      </c>
      <c r="K278" s="15">
        <f t="shared" si="53"/>
        <v>77.42</v>
      </c>
      <c r="L278" s="16">
        <v>77.42</v>
      </c>
      <c r="M278" s="16">
        <f t="shared" si="62"/>
        <v>100</v>
      </c>
      <c r="N278" s="17"/>
      <c r="O278" s="17"/>
    </row>
    <row r="279" spans="1:15" ht="16.5" thickBot="1">
      <c r="A279" s="12" t="s">
        <v>310</v>
      </c>
      <c r="B279" s="13">
        <v>902</v>
      </c>
      <c r="C279" s="13"/>
      <c r="D279" s="13">
        <v>10</v>
      </c>
      <c r="E279" s="13" t="s">
        <v>48</v>
      </c>
      <c r="F279" s="13"/>
      <c r="G279" s="13"/>
      <c r="H279" s="14">
        <f>SUM(H280+H289)</f>
        <v>5401</v>
      </c>
      <c r="I279" s="14">
        <f>SUM(I280+I289)</f>
        <v>-49</v>
      </c>
      <c r="J279" s="14">
        <f>SUM(J280+J289)</f>
        <v>0</v>
      </c>
      <c r="K279" s="15">
        <f t="shared" si="53"/>
        <v>5352</v>
      </c>
      <c r="L279" s="15">
        <f>SUM(L280+L289)</f>
        <v>4465.54</v>
      </c>
      <c r="M279" s="16">
        <f t="shared" si="62"/>
        <v>83.436846038863976</v>
      </c>
      <c r="N279" s="14">
        <f>SUM(N280+N289)</f>
        <v>0</v>
      </c>
      <c r="O279" s="14">
        <f>SUM(O280+O289)</f>
        <v>0</v>
      </c>
    </row>
    <row r="280" spans="1:15" ht="32.25" thickBot="1">
      <c r="A280" s="12" t="s">
        <v>311</v>
      </c>
      <c r="B280" s="13">
        <v>902</v>
      </c>
      <c r="C280" s="13"/>
      <c r="D280" s="13">
        <v>10</v>
      </c>
      <c r="E280" s="13" t="s">
        <v>48</v>
      </c>
      <c r="F280" s="13">
        <v>5200000</v>
      </c>
      <c r="G280" s="13"/>
      <c r="H280" s="14">
        <f>SUM(H281+H283)</f>
        <v>5401</v>
      </c>
      <c r="I280" s="14">
        <f>SUM(I281+I283)</f>
        <v>-49</v>
      </c>
      <c r="J280" s="14">
        <f>SUM(J281+J283)</f>
        <v>0</v>
      </c>
      <c r="K280" s="15">
        <f t="shared" si="53"/>
        <v>5352</v>
      </c>
      <c r="L280" s="15">
        <f>SUM(L281+L283)</f>
        <v>4465.54</v>
      </c>
      <c r="M280" s="16">
        <f t="shared" si="62"/>
        <v>83.436846038863976</v>
      </c>
      <c r="N280" s="14">
        <f>SUM(N281+N283)</f>
        <v>0</v>
      </c>
      <c r="O280" s="14">
        <f>SUM(O281+O283)</f>
        <v>0</v>
      </c>
    </row>
    <row r="281" spans="1:15" ht="79.5" thickBot="1">
      <c r="A281" s="12" t="s">
        <v>312</v>
      </c>
      <c r="B281" s="13">
        <v>902</v>
      </c>
      <c r="C281" s="13"/>
      <c r="D281" s="13">
        <v>10</v>
      </c>
      <c r="E281" s="13" t="s">
        <v>48</v>
      </c>
      <c r="F281" s="13">
        <v>5201000</v>
      </c>
      <c r="G281" s="13"/>
      <c r="H281" s="14">
        <f>SUM(H282)</f>
        <v>1810.5</v>
      </c>
      <c r="I281" s="14">
        <f>SUM(I282)</f>
        <v>0</v>
      </c>
      <c r="J281" s="14">
        <f>SUM(J282)</f>
        <v>0</v>
      </c>
      <c r="K281" s="15">
        <f t="shared" si="53"/>
        <v>1810.5</v>
      </c>
      <c r="L281" s="15">
        <f>SUM(L282)</f>
        <v>1180.24</v>
      </c>
      <c r="M281" s="16">
        <f t="shared" si="62"/>
        <v>65.188621927644292</v>
      </c>
      <c r="N281" s="14">
        <f>SUM(N282)</f>
        <v>0</v>
      </c>
      <c r="O281" s="14">
        <f>SUM(O282)</f>
        <v>0</v>
      </c>
    </row>
    <row r="282" spans="1:15" ht="16.5" thickBot="1">
      <c r="A282" s="12" t="s">
        <v>295</v>
      </c>
      <c r="B282" s="13">
        <v>902</v>
      </c>
      <c r="C282" s="13"/>
      <c r="D282" s="13">
        <v>10</v>
      </c>
      <c r="E282" s="13" t="s">
        <v>48</v>
      </c>
      <c r="F282" s="13">
        <v>5201000</v>
      </c>
      <c r="G282" s="13" t="s">
        <v>194</v>
      </c>
      <c r="H282" s="17">
        <v>1810.5</v>
      </c>
      <c r="I282" s="17"/>
      <c r="J282" s="17"/>
      <c r="K282" s="15">
        <f t="shared" si="53"/>
        <v>1810.5</v>
      </c>
      <c r="L282" s="16">
        <v>1180.24</v>
      </c>
      <c r="M282" s="16">
        <f t="shared" si="62"/>
        <v>65.188621927644292</v>
      </c>
      <c r="N282" s="17"/>
      <c r="O282" s="17"/>
    </row>
    <row r="283" spans="1:15" ht="48" thickBot="1">
      <c r="A283" s="12" t="s">
        <v>313</v>
      </c>
      <c r="B283" s="13">
        <v>902</v>
      </c>
      <c r="C283" s="13"/>
      <c r="D283" s="13">
        <v>10</v>
      </c>
      <c r="E283" s="13" t="s">
        <v>48</v>
      </c>
      <c r="F283" s="13">
        <v>5201300</v>
      </c>
      <c r="G283" s="13"/>
      <c r="H283" s="14">
        <f>SUM(H284+H286)</f>
        <v>3590.5</v>
      </c>
      <c r="I283" s="14">
        <f>SUM(I284+I286)</f>
        <v>-49</v>
      </c>
      <c r="J283" s="14">
        <f>SUM(J284+J286)</f>
        <v>0</v>
      </c>
      <c r="K283" s="15">
        <f t="shared" si="53"/>
        <v>3541.5</v>
      </c>
      <c r="L283" s="15">
        <f>SUM(L284+L286)</f>
        <v>3285.3</v>
      </c>
      <c r="M283" s="16">
        <f t="shared" si="62"/>
        <v>92.765777213045325</v>
      </c>
      <c r="N283" s="14">
        <f>SUM(N284+N286)</f>
        <v>0</v>
      </c>
      <c r="O283" s="14">
        <f>SUM(O284+O286)</f>
        <v>0</v>
      </c>
    </row>
    <row r="284" spans="1:15" ht="32.25" thickBot="1">
      <c r="A284" s="12" t="s">
        <v>314</v>
      </c>
      <c r="B284" s="13">
        <v>902</v>
      </c>
      <c r="C284" s="13"/>
      <c r="D284" s="13">
        <v>10</v>
      </c>
      <c r="E284" s="13" t="s">
        <v>48</v>
      </c>
      <c r="F284" s="13" t="s">
        <v>315</v>
      </c>
      <c r="G284" s="13"/>
      <c r="H284" s="14">
        <f>SUM(H285)</f>
        <v>314.5</v>
      </c>
      <c r="I284" s="14">
        <f>SUM(I285)</f>
        <v>0</v>
      </c>
      <c r="J284" s="14">
        <f>SUM(J285)</f>
        <v>0</v>
      </c>
      <c r="K284" s="15">
        <f t="shared" si="53"/>
        <v>314.5</v>
      </c>
      <c r="L284" s="15">
        <f>SUM(L285)</f>
        <v>198.9</v>
      </c>
      <c r="M284" s="16">
        <f t="shared" si="62"/>
        <v>63.243243243243242</v>
      </c>
      <c r="N284" s="14">
        <f>SUM(N285)</f>
        <v>0</v>
      </c>
      <c r="O284" s="14">
        <f>SUM(O285)</f>
        <v>0</v>
      </c>
    </row>
    <row r="285" spans="1:15" ht="16.5" thickBot="1">
      <c r="A285" s="12" t="s">
        <v>295</v>
      </c>
      <c r="B285" s="13">
        <v>902</v>
      </c>
      <c r="C285" s="13"/>
      <c r="D285" s="13">
        <v>10</v>
      </c>
      <c r="E285" s="13" t="s">
        <v>48</v>
      </c>
      <c r="F285" s="13" t="s">
        <v>315</v>
      </c>
      <c r="G285" s="13" t="s">
        <v>194</v>
      </c>
      <c r="H285" s="17">
        <v>314.5</v>
      </c>
      <c r="I285" s="17"/>
      <c r="J285" s="17"/>
      <c r="K285" s="15">
        <f t="shared" si="53"/>
        <v>314.5</v>
      </c>
      <c r="L285" s="16">
        <v>198.9</v>
      </c>
      <c r="M285" s="16">
        <f t="shared" si="62"/>
        <v>63.243243243243242</v>
      </c>
      <c r="N285" s="17"/>
      <c r="O285" s="17"/>
    </row>
    <row r="286" spans="1:15" ht="32.25" thickBot="1">
      <c r="A286" s="12" t="s">
        <v>316</v>
      </c>
      <c r="B286" s="13">
        <v>902</v>
      </c>
      <c r="C286" s="13"/>
      <c r="D286" s="13">
        <v>10</v>
      </c>
      <c r="E286" s="13" t="s">
        <v>48</v>
      </c>
      <c r="F286" s="13">
        <v>5201320</v>
      </c>
      <c r="G286" s="13"/>
      <c r="H286" s="14">
        <f>SUM(H287:H288)</f>
        <v>3276</v>
      </c>
      <c r="I286" s="14">
        <f>SUM(I287:I288)</f>
        <v>-49</v>
      </c>
      <c r="J286" s="14">
        <f>SUM(J287:J288)</f>
        <v>0</v>
      </c>
      <c r="K286" s="15">
        <f t="shared" si="53"/>
        <v>3227</v>
      </c>
      <c r="L286" s="15">
        <f>SUM(L287:L288)</f>
        <v>3086.4</v>
      </c>
      <c r="M286" s="16">
        <f t="shared" si="62"/>
        <v>95.643012085528355</v>
      </c>
      <c r="N286" s="14">
        <f>SUM(N287:N288)</f>
        <v>0</v>
      </c>
      <c r="O286" s="14">
        <f>SUM(O287:O288)</f>
        <v>0</v>
      </c>
    </row>
    <row r="287" spans="1:15" ht="16.5" thickBot="1">
      <c r="A287" s="12" t="s">
        <v>295</v>
      </c>
      <c r="B287" s="13">
        <v>902</v>
      </c>
      <c r="C287" s="13"/>
      <c r="D287" s="13">
        <v>10</v>
      </c>
      <c r="E287" s="13" t="s">
        <v>48</v>
      </c>
      <c r="F287" s="13">
        <v>5201320</v>
      </c>
      <c r="G287" s="13" t="s">
        <v>194</v>
      </c>
      <c r="H287" s="17">
        <v>3276</v>
      </c>
      <c r="I287" s="17">
        <v>-49</v>
      </c>
      <c r="J287" s="17"/>
      <c r="K287" s="15">
        <f t="shared" si="53"/>
        <v>3227</v>
      </c>
      <c r="L287" s="16">
        <v>3086.4</v>
      </c>
      <c r="M287" s="16">
        <f t="shared" si="62"/>
        <v>95.643012085528355</v>
      </c>
      <c r="N287" s="17"/>
      <c r="O287" s="17"/>
    </row>
    <row r="288" spans="1:15" ht="16.5" thickBot="1">
      <c r="A288" s="12" t="s">
        <v>295</v>
      </c>
      <c r="B288" s="13">
        <v>902</v>
      </c>
      <c r="C288" s="13" t="s">
        <v>317</v>
      </c>
      <c r="D288" s="13">
        <v>10</v>
      </c>
      <c r="E288" s="13" t="s">
        <v>48</v>
      </c>
      <c r="F288" s="13">
        <v>5201320</v>
      </c>
      <c r="G288" s="13" t="s">
        <v>194</v>
      </c>
      <c r="H288" s="17">
        <v>0</v>
      </c>
      <c r="I288" s="17"/>
      <c r="J288" s="17"/>
      <c r="K288" s="15">
        <f t="shared" si="53"/>
        <v>0</v>
      </c>
      <c r="L288" s="16">
        <v>0</v>
      </c>
      <c r="M288" s="16">
        <v>0</v>
      </c>
      <c r="N288" s="17"/>
      <c r="O288" s="17"/>
    </row>
    <row r="289" spans="1:15" ht="63.75" thickBot="1">
      <c r="A289" s="12" t="s">
        <v>318</v>
      </c>
      <c r="B289" s="13">
        <v>902</v>
      </c>
      <c r="C289" s="13"/>
      <c r="D289" s="13">
        <v>10</v>
      </c>
      <c r="E289" s="13" t="s">
        <v>48</v>
      </c>
      <c r="F289" s="13" t="s">
        <v>319</v>
      </c>
      <c r="G289" s="13"/>
      <c r="H289" s="14">
        <f>SUM(H290:H291)</f>
        <v>0</v>
      </c>
      <c r="I289" s="14">
        <f>SUM(I290:I291)</f>
        <v>0</v>
      </c>
      <c r="J289" s="14">
        <f>SUM(J290:J291)</f>
        <v>0</v>
      </c>
      <c r="K289" s="15">
        <f t="shared" si="53"/>
        <v>0</v>
      </c>
      <c r="L289" s="15">
        <f>SUM(L290:L291)</f>
        <v>0</v>
      </c>
      <c r="M289" s="16">
        <v>0</v>
      </c>
      <c r="N289" s="14">
        <f>SUM(N290:N291)</f>
        <v>0</v>
      </c>
      <c r="O289" s="14">
        <f>SUM(O290:O291)</f>
        <v>0</v>
      </c>
    </row>
    <row r="290" spans="1:15" ht="16.5" thickBot="1">
      <c r="A290" s="12" t="s">
        <v>295</v>
      </c>
      <c r="B290" s="13">
        <v>902</v>
      </c>
      <c r="C290" s="13"/>
      <c r="D290" s="13">
        <v>10</v>
      </c>
      <c r="E290" s="13" t="s">
        <v>48</v>
      </c>
      <c r="F290" s="13" t="s">
        <v>319</v>
      </c>
      <c r="G290" s="13" t="s">
        <v>194</v>
      </c>
      <c r="H290" s="17">
        <v>0</v>
      </c>
      <c r="I290" s="17"/>
      <c r="J290" s="17"/>
      <c r="K290" s="15">
        <f t="shared" si="53"/>
        <v>0</v>
      </c>
      <c r="L290" s="16"/>
      <c r="M290" s="16">
        <v>0</v>
      </c>
      <c r="N290" s="17"/>
      <c r="O290" s="17"/>
    </row>
    <row r="291" spans="1:15" ht="16.5" thickBot="1">
      <c r="A291" s="12" t="s">
        <v>295</v>
      </c>
      <c r="B291" s="13">
        <v>902</v>
      </c>
      <c r="C291" s="13" t="s">
        <v>320</v>
      </c>
      <c r="D291" s="13">
        <v>10</v>
      </c>
      <c r="E291" s="13" t="s">
        <v>48</v>
      </c>
      <c r="F291" s="13" t="s">
        <v>319</v>
      </c>
      <c r="G291" s="13" t="s">
        <v>194</v>
      </c>
      <c r="H291" s="17">
        <v>0</v>
      </c>
      <c r="I291" s="17"/>
      <c r="J291" s="17"/>
      <c r="K291" s="15">
        <f t="shared" si="53"/>
        <v>0</v>
      </c>
      <c r="L291" s="16"/>
      <c r="M291" s="16">
        <v>0</v>
      </c>
      <c r="N291" s="17"/>
      <c r="O291" s="17"/>
    </row>
    <row r="292" spans="1:15" ht="16.5" thickBot="1">
      <c r="A292" s="12" t="s">
        <v>321</v>
      </c>
      <c r="B292" s="13">
        <v>902</v>
      </c>
      <c r="C292" s="13"/>
      <c r="D292" s="13" t="s">
        <v>78</v>
      </c>
      <c r="E292" s="13" t="s">
        <v>134</v>
      </c>
      <c r="F292" s="13"/>
      <c r="G292" s="13"/>
      <c r="H292" s="14">
        <f t="shared" ref="H292:O293" si="63">SUM(H293)</f>
        <v>850</v>
      </c>
      <c r="I292" s="14">
        <f t="shared" si="63"/>
        <v>0</v>
      </c>
      <c r="J292" s="14">
        <f t="shared" si="63"/>
        <v>0</v>
      </c>
      <c r="K292" s="15">
        <f t="shared" si="53"/>
        <v>850</v>
      </c>
      <c r="L292" s="15">
        <f t="shared" si="63"/>
        <v>850</v>
      </c>
      <c r="M292" s="16">
        <f t="shared" si="62"/>
        <v>100</v>
      </c>
      <c r="N292" s="14">
        <f t="shared" si="63"/>
        <v>0</v>
      </c>
      <c r="O292" s="14">
        <f t="shared" si="63"/>
        <v>0</v>
      </c>
    </row>
    <row r="293" spans="1:15" ht="32.25" thickBot="1">
      <c r="A293" s="12" t="s">
        <v>57</v>
      </c>
      <c r="B293" s="13">
        <v>902</v>
      </c>
      <c r="C293" s="13"/>
      <c r="D293" s="13" t="s">
        <v>78</v>
      </c>
      <c r="E293" s="13" t="s">
        <v>62</v>
      </c>
      <c r="F293" s="13">
        <v>7950000</v>
      </c>
      <c r="G293" s="13"/>
      <c r="H293" s="14">
        <f t="shared" si="63"/>
        <v>850</v>
      </c>
      <c r="I293" s="14">
        <f t="shared" si="63"/>
        <v>0</v>
      </c>
      <c r="J293" s="14">
        <f t="shared" si="63"/>
        <v>0</v>
      </c>
      <c r="K293" s="15">
        <f t="shared" si="53"/>
        <v>850</v>
      </c>
      <c r="L293" s="15">
        <f t="shared" si="63"/>
        <v>850</v>
      </c>
      <c r="M293" s="16">
        <f t="shared" si="62"/>
        <v>100</v>
      </c>
      <c r="N293" s="14">
        <f t="shared" si="63"/>
        <v>0</v>
      </c>
      <c r="O293" s="14">
        <f t="shared" si="63"/>
        <v>0</v>
      </c>
    </row>
    <row r="294" spans="1:15" ht="48" thickBot="1">
      <c r="A294" s="12" t="s">
        <v>322</v>
      </c>
      <c r="B294" s="13">
        <v>902</v>
      </c>
      <c r="C294" s="13"/>
      <c r="D294" s="13" t="s">
        <v>78</v>
      </c>
      <c r="E294" s="13" t="s">
        <v>62</v>
      </c>
      <c r="F294" s="13">
        <v>7950000</v>
      </c>
      <c r="G294" s="13">
        <v>500</v>
      </c>
      <c r="H294" s="17">
        <f>750+100</f>
        <v>850</v>
      </c>
      <c r="I294" s="17"/>
      <c r="J294" s="17"/>
      <c r="K294" s="15">
        <f t="shared" si="53"/>
        <v>850</v>
      </c>
      <c r="L294" s="16">
        <v>850</v>
      </c>
      <c r="M294" s="16">
        <f t="shared" si="62"/>
        <v>100</v>
      </c>
      <c r="N294" s="17"/>
      <c r="O294" s="17"/>
    </row>
    <row r="295" spans="1:15" ht="16.5" thickBot="1">
      <c r="A295" s="12" t="s">
        <v>323</v>
      </c>
      <c r="B295" s="13">
        <v>902</v>
      </c>
      <c r="C295" s="13"/>
      <c r="D295" s="13" t="s">
        <v>159</v>
      </c>
      <c r="E295" s="13" t="s">
        <v>134</v>
      </c>
      <c r="F295" s="13"/>
      <c r="G295" s="13"/>
      <c r="H295" s="19">
        <f t="shared" ref="H295:O295" si="64">SUM(H301+H296)</f>
        <v>2190</v>
      </c>
      <c r="I295" s="19">
        <f t="shared" si="64"/>
        <v>0</v>
      </c>
      <c r="J295" s="19">
        <f t="shared" si="64"/>
        <v>0</v>
      </c>
      <c r="K295" s="16">
        <f t="shared" si="64"/>
        <v>2190</v>
      </c>
      <c r="L295" s="16">
        <f t="shared" si="64"/>
        <v>2190</v>
      </c>
      <c r="M295" s="16">
        <f t="shared" si="62"/>
        <v>100</v>
      </c>
      <c r="N295" s="19">
        <f t="shared" si="64"/>
        <v>0</v>
      </c>
      <c r="O295" s="19">
        <f t="shared" si="64"/>
        <v>0</v>
      </c>
    </row>
    <row r="296" spans="1:15" ht="16.5" thickBot="1">
      <c r="A296" s="12" t="s">
        <v>324</v>
      </c>
      <c r="B296" s="13" t="s">
        <v>58</v>
      </c>
      <c r="C296" s="13"/>
      <c r="D296" s="13" t="s">
        <v>159</v>
      </c>
      <c r="E296" s="13" t="s">
        <v>19</v>
      </c>
      <c r="F296" s="13"/>
      <c r="G296" s="13"/>
      <c r="H296" s="18">
        <f>SUM(H297)</f>
        <v>1090</v>
      </c>
      <c r="I296" s="18">
        <f t="shared" ref="I296:O299" si="65">SUM(I297)</f>
        <v>0</v>
      </c>
      <c r="J296" s="18">
        <f t="shared" si="65"/>
        <v>0</v>
      </c>
      <c r="K296" s="16">
        <f t="shared" si="65"/>
        <v>1090</v>
      </c>
      <c r="L296" s="16">
        <f t="shared" si="65"/>
        <v>1090</v>
      </c>
      <c r="M296" s="16">
        <f t="shared" si="62"/>
        <v>100</v>
      </c>
      <c r="N296" s="18">
        <f t="shared" si="65"/>
        <v>0</v>
      </c>
      <c r="O296" s="18">
        <f t="shared" si="65"/>
        <v>0</v>
      </c>
    </row>
    <row r="297" spans="1:15" ht="18" customHeight="1" thickBot="1">
      <c r="A297" s="12" t="s">
        <v>325</v>
      </c>
      <c r="B297" s="13" t="s">
        <v>58</v>
      </c>
      <c r="C297" s="13"/>
      <c r="D297" s="13" t="s">
        <v>159</v>
      </c>
      <c r="E297" s="13" t="s">
        <v>19</v>
      </c>
      <c r="F297" s="13" t="s">
        <v>326</v>
      </c>
      <c r="G297" s="13"/>
      <c r="H297" s="18">
        <f t="shared" ref="H297:O297" si="66">SUM(H299)</f>
        <v>1090</v>
      </c>
      <c r="I297" s="18">
        <f t="shared" si="66"/>
        <v>0</v>
      </c>
      <c r="J297" s="18">
        <f t="shared" si="66"/>
        <v>0</v>
      </c>
      <c r="K297" s="16">
        <f t="shared" si="66"/>
        <v>1090</v>
      </c>
      <c r="L297" s="16">
        <f t="shared" si="66"/>
        <v>1090</v>
      </c>
      <c r="M297" s="16">
        <f t="shared" si="62"/>
        <v>100</v>
      </c>
      <c r="N297" s="18">
        <f t="shared" si="66"/>
        <v>0</v>
      </c>
      <c r="O297" s="18">
        <f t="shared" si="66"/>
        <v>0</v>
      </c>
    </row>
    <row r="298" spans="1:15" ht="63.75" customHeight="1" thickBot="1">
      <c r="A298" s="12" t="s">
        <v>327</v>
      </c>
      <c r="B298" s="13" t="s">
        <v>58</v>
      </c>
      <c r="C298" s="13"/>
      <c r="D298" s="13" t="s">
        <v>159</v>
      </c>
      <c r="E298" s="13" t="s">
        <v>19</v>
      </c>
      <c r="F298" s="13" t="s">
        <v>328</v>
      </c>
      <c r="G298" s="13"/>
      <c r="H298" s="18">
        <f>SUM(H299)</f>
        <v>1090</v>
      </c>
      <c r="I298" s="18">
        <f t="shared" si="65"/>
        <v>0</v>
      </c>
      <c r="J298" s="18">
        <f t="shared" si="65"/>
        <v>0</v>
      </c>
      <c r="K298" s="16">
        <f t="shared" si="65"/>
        <v>1090</v>
      </c>
      <c r="L298" s="16">
        <f t="shared" si="65"/>
        <v>1090</v>
      </c>
      <c r="M298" s="16">
        <f t="shared" si="62"/>
        <v>100</v>
      </c>
      <c r="N298" s="18">
        <f t="shared" si="65"/>
        <v>0</v>
      </c>
      <c r="O298" s="18">
        <f t="shared" si="65"/>
        <v>0</v>
      </c>
    </row>
    <row r="299" spans="1:15" ht="32.25" thickBot="1">
      <c r="A299" s="12" t="s">
        <v>108</v>
      </c>
      <c r="B299" s="13" t="s">
        <v>58</v>
      </c>
      <c r="C299" s="13"/>
      <c r="D299" s="13" t="s">
        <v>159</v>
      </c>
      <c r="E299" s="13" t="s">
        <v>19</v>
      </c>
      <c r="F299" s="13" t="s">
        <v>328</v>
      </c>
      <c r="G299" s="13"/>
      <c r="H299" s="18">
        <f>SUM(H300)</f>
        <v>1090</v>
      </c>
      <c r="I299" s="18">
        <f t="shared" si="65"/>
        <v>0</v>
      </c>
      <c r="J299" s="18">
        <f t="shared" si="65"/>
        <v>0</v>
      </c>
      <c r="K299" s="16">
        <f t="shared" si="65"/>
        <v>1090</v>
      </c>
      <c r="L299" s="16">
        <f t="shared" si="65"/>
        <v>1090</v>
      </c>
      <c r="M299" s="16">
        <f t="shared" si="62"/>
        <v>100</v>
      </c>
      <c r="N299" s="18">
        <f t="shared" si="65"/>
        <v>0</v>
      </c>
      <c r="O299" s="18">
        <f t="shared" si="65"/>
        <v>0</v>
      </c>
    </row>
    <row r="300" spans="1:15" ht="71.25" customHeight="1" thickBot="1">
      <c r="A300" s="12" t="s">
        <v>110</v>
      </c>
      <c r="B300" s="13" t="s">
        <v>58</v>
      </c>
      <c r="C300" s="13"/>
      <c r="D300" s="13" t="s">
        <v>159</v>
      </c>
      <c r="E300" s="13" t="s">
        <v>19</v>
      </c>
      <c r="F300" s="13" t="s">
        <v>328</v>
      </c>
      <c r="G300" s="13" t="s">
        <v>111</v>
      </c>
      <c r="H300" s="17">
        <f>900+190</f>
        <v>1090</v>
      </c>
      <c r="I300" s="17"/>
      <c r="J300" s="17"/>
      <c r="K300" s="15">
        <f>SUM(H300:J300)</f>
        <v>1090</v>
      </c>
      <c r="L300" s="16">
        <v>1090</v>
      </c>
      <c r="M300" s="16">
        <f t="shared" si="62"/>
        <v>100</v>
      </c>
      <c r="N300" s="17"/>
      <c r="O300" s="17"/>
    </row>
    <row r="301" spans="1:15" ht="16.5" thickBot="1">
      <c r="A301" s="12" t="s">
        <v>329</v>
      </c>
      <c r="B301" s="13">
        <v>902</v>
      </c>
      <c r="C301" s="13"/>
      <c r="D301" s="13" t="s">
        <v>159</v>
      </c>
      <c r="E301" s="13" t="s">
        <v>42</v>
      </c>
      <c r="F301" s="13"/>
      <c r="G301" s="13"/>
      <c r="H301" s="14">
        <f>SUM(H302)</f>
        <v>1100</v>
      </c>
      <c r="I301" s="14">
        <f>SUM(I302)</f>
        <v>0</v>
      </c>
      <c r="J301" s="14">
        <f>SUM(J302)</f>
        <v>0</v>
      </c>
      <c r="K301" s="15">
        <f t="shared" si="53"/>
        <v>1100</v>
      </c>
      <c r="L301" s="15">
        <f>SUM(L302)</f>
        <v>1100</v>
      </c>
      <c r="M301" s="16">
        <f t="shared" si="62"/>
        <v>100</v>
      </c>
      <c r="N301" s="14">
        <f>SUM(N302)</f>
        <v>0</v>
      </c>
      <c r="O301" s="14">
        <f>SUM(O302)</f>
        <v>0</v>
      </c>
    </row>
    <row r="302" spans="1:15" ht="43.5" customHeight="1" thickBot="1">
      <c r="A302" s="12" t="s">
        <v>330</v>
      </c>
      <c r="B302" s="13">
        <v>902</v>
      </c>
      <c r="C302" s="13"/>
      <c r="D302" s="13" t="s">
        <v>159</v>
      </c>
      <c r="E302" s="13" t="s">
        <v>42</v>
      </c>
      <c r="F302" s="13">
        <v>4570000</v>
      </c>
      <c r="G302" s="13"/>
      <c r="H302" s="14">
        <f>SUM(H304)</f>
        <v>1100</v>
      </c>
      <c r="I302" s="14">
        <f>SUM(I304)</f>
        <v>0</v>
      </c>
      <c r="J302" s="14">
        <f>SUM(J304)</f>
        <v>0</v>
      </c>
      <c r="K302" s="15">
        <f t="shared" si="53"/>
        <v>1100</v>
      </c>
      <c r="L302" s="15">
        <f>SUM(L304)</f>
        <v>1100</v>
      </c>
      <c r="M302" s="16">
        <f t="shared" si="62"/>
        <v>100</v>
      </c>
      <c r="N302" s="14">
        <f>SUM(N304)</f>
        <v>0</v>
      </c>
      <c r="O302" s="14">
        <f>SUM(O304)</f>
        <v>0</v>
      </c>
    </row>
    <row r="303" spans="1:15" ht="53.25" customHeight="1" thickBot="1">
      <c r="A303" s="12" t="s">
        <v>331</v>
      </c>
      <c r="B303" s="13" t="s">
        <v>58</v>
      </c>
      <c r="C303" s="13"/>
      <c r="D303" s="13" t="s">
        <v>159</v>
      </c>
      <c r="E303" s="13" t="s">
        <v>42</v>
      </c>
      <c r="F303" s="13" t="s">
        <v>332</v>
      </c>
      <c r="G303" s="13"/>
      <c r="H303" s="18">
        <f t="shared" ref="H303:O303" si="67">SUM(H304)</f>
        <v>1100</v>
      </c>
      <c r="I303" s="18">
        <f t="shared" si="67"/>
        <v>0</v>
      </c>
      <c r="J303" s="18">
        <f t="shared" si="67"/>
        <v>0</v>
      </c>
      <c r="K303" s="16">
        <f t="shared" si="67"/>
        <v>1100</v>
      </c>
      <c r="L303" s="16">
        <f t="shared" si="67"/>
        <v>1100</v>
      </c>
      <c r="M303" s="16">
        <f t="shared" si="62"/>
        <v>100</v>
      </c>
      <c r="N303" s="18">
        <f t="shared" si="67"/>
        <v>0</v>
      </c>
      <c r="O303" s="18">
        <f t="shared" si="67"/>
        <v>0</v>
      </c>
    </row>
    <row r="304" spans="1:15" ht="32.25" thickBot="1">
      <c r="A304" s="12" t="s">
        <v>123</v>
      </c>
      <c r="B304" s="13">
        <v>902</v>
      </c>
      <c r="C304" s="13"/>
      <c r="D304" s="13" t="s">
        <v>159</v>
      </c>
      <c r="E304" s="13" t="s">
        <v>42</v>
      </c>
      <c r="F304" s="13" t="s">
        <v>332</v>
      </c>
      <c r="G304" s="13"/>
      <c r="H304" s="14">
        <f>SUM(H305)</f>
        <v>1100</v>
      </c>
      <c r="I304" s="14">
        <f>SUM(I305)</f>
        <v>0</v>
      </c>
      <c r="J304" s="14">
        <f>SUM(J305)</f>
        <v>0</v>
      </c>
      <c r="K304" s="15">
        <f>SUM(H304:J304)</f>
        <v>1100</v>
      </c>
      <c r="L304" s="15">
        <f>SUM(L305)</f>
        <v>1100</v>
      </c>
      <c r="M304" s="16">
        <f t="shared" si="62"/>
        <v>100</v>
      </c>
      <c r="N304" s="14">
        <f>SUM(N305)</f>
        <v>0</v>
      </c>
      <c r="O304" s="14">
        <f>SUM(O305)</f>
        <v>0</v>
      </c>
    </row>
    <row r="305" spans="1:15" ht="63.75" thickBot="1">
      <c r="A305" s="12" t="s">
        <v>127</v>
      </c>
      <c r="B305" s="13">
        <v>902</v>
      </c>
      <c r="C305" s="13"/>
      <c r="D305" s="13" t="s">
        <v>159</v>
      </c>
      <c r="E305" s="13" t="s">
        <v>42</v>
      </c>
      <c r="F305" s="13" t="s">
        <v>332</v>
      </c>
      <c r="G305" s="13" t="s">
        <v>126</v>
      </c>
      <c r="H305" s="17">
        <v>1100</v>
      </c>
      <c r="I305" s="17"/>
      <c r="J305" s="17"/>
      <c r="K305" s="15">
        <f>SUM(H305:J305)</f>
        <v>1100</v>
      </c>
      <c r="L305" s="16">
        <v>1100</v>
      </c>
      <c r="M305" s="16">
        <f t="shared" si="62"/>
        <v>100</v>
      </c>
      <c r="N305" s="17"/>
      <c r="O305" s="17"/>
    </row>
    <row r="306" spans="1:15" ht="32.25" thickBot="1">
      <c r="A306" s="12" t="s">
        <v>333</v>
      </c>
      <c r="B306" s="13">
        <v>902</v>
      </c>
      <c r="C306" s="13"/>
      <c r="D306" s="13" t="s">
        <v>32</v>
      </c>
      <c r="E306" s="13" t="s">
        <v>134</v>
      </c>
      <c r="F306" s="13"/>
      <c r="G306" s="13"/>
      <c r="H306" s="14">
        <f t="shared" ref="H306:O307" si="68">SUM(H307)</f>
        <v>95.150670000000005</v>
      </c>
      <c r="I306" s="14">
        <f t="shared" si="68"/>
        <v>0</v>
      </c>
      <c r="J306" s="14">
        <f t="shared" si="68"/>
        <v>0</v>
      </c>
      <c r="K306" s="15">
        <f>SUM(H306:J306)</f>
        <v>95.150670000000005</v>
      </c>
      <c r="L306" s="15">
        <f t="shared" si="68"/>
        <v>95.150670000000005</v>
      </c>
      <c r="M306" s="16">
        <f t="shared" si="62"/>
        <v>100</v>
      </c>
      <c r="N306" s="14">
        <f t="shared" si="68"/>
        <v>0</v>
      </c>
      <c r="O306" s="14">
        <f t="shared" si="68"/>
        <v>0</v>
      </c>
    </row>
    <row r="307" spans="1:15" ht="32.25" thickBot="1">
      <c r="A307" s="12" t="s">
        <v>334</v>
      </c>
      <c r="B307" s="13">
        <v>902</v>
      </c>
      <c r="C307" s="13"/>
      <c r="D307" s="13" t="s">
        <v>32</v>
      </c>
      <c r="E307" s="13" t="s">
        <v>19</v>
      </c>
      <c r="F307" s="13"/>
      <c r="G307" s="13"/>
      <c r="H307" s="14">
        <f>SUM(H308)</f>
        <v>95.150670000000005</v>
      </c>
      <c r="I307" s="14">
        <f t="shared" si="68"/>
        <v>0</v>
      </c>
      <c r="J307" s="14">
        <f t="shared" si="68"/>
        <v>0</v>
      </c>
      <c r="K307" s="15">
        <f>SUM(H307:J307)</f>
        <v>95.150670000000005</v>
      </c>
      <c r="L307" s="15">
        <f t="shared" si="68"/>
        <v>95.150670000000005</v>
      </c>
      <c r="M307" s="16">
        <f t="shared" si="62"/>
        <v>100</v>
      </c>
      <c r="N307" s="14">
        <f t="shared" si="68"/>
        <v>0</v>
      </c>
      <c r="O307" s="14">
        <f t="shared" si="68"/>
        <v>0</v>
      </c>
    </row>
    <row r="308" spans="1:15" ht="32.25" thickBot="1">
      <c r="A308" s="12" t="s">
        <v>335</v>
      </c>
      <c r="B308" s="13" t="s">
        <v>58</v>
      </c>
      <c r="C308" s="13"/>
      <c r="D308" s="13" t="s">
        <v>32</v>
      </c>
      <c r="E308" s="13" t="s">
        <v>19</v>
      </c>
      <c r="F308" s="13" t="s">
        <v>336</v>
      </c>
      <c r="G308" s="13" t="s">
        <v>69</v>
      </c>
      <c r="H308" s="17">
        <f>97-1.84933</f>
        <v>95.150670000000005</v>
      </c>
      <c r="I308" s="17"/>
      <c r="J308" s="17"/>
      <c r="K308" s="15">
        <f>SUM(H308:J308)</f>
        <v>95.150670000000005</v>
      </c>
      <c r="L308" s="16">
        <v>95.150670000000005</v>
      </c>
      <c r="M308" s="16">
        <f t="shared" si="62"/>
        <v>100</v>
      </c>
      <c r="N308" s="17"/>
      <c r="O308" s="17"/>
    </row>
    <row r="309" spans="1:15" ht="16.5" thickBot="1">
      <c r="A309" s="12" t="s">
        <v>337</v>
      </c>
      <c r="B309" s="13"/>
      <c r="C309" s="13"/>
      <c r="D309" s="13"/>
      <c r="E309" s="13"/>
      <c r="F309" s="13"/>
      <c r="G309" s="13"/>
      <c r="H309" s="17">
        <f t="shared" ref="H309:O309" si="69">SUM(H12+H21+H27)</f>
        <v>388016.20118999993</v>
      </c>
      <c r="I309" s="17">
        <f t="shared" si="69"/>
        <v>5278.19218</v>
      </c>
      <c r="J309" s="17">
        <f t="shared" si="69"/>
        <v>958.01033000000029</v>
      </c>
      <c r="K309" s="16">
        <f t="shared" si="69"/>
        <v>394252.40369999997</v>
      </c>
      <c r="L309" s="16">
        <f t="shared" si="69"/>
        <v>358627.27789000008</v>
      </c>
      <c r="M309" s="16">
        <f t="shared" si="62"/>
        <v>90.963878602726737</v>
      </c>
      <c r="N309" s="17">
        <f t="shared" si="69"/>
        <v>0</v>
      </c>
      <c r="O309" s="17">
        <f t="shared" si="69"/>
        <v>0</v>
      </c>
    </row>
    <row r="311" spans="1:15" s="27" customFormat="1" ht="16.5">
      <c r="A311" s="28" t="s">
        <v>342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</sheetData>
  <mergeCells count="22">
    <mergeCell ref="D7:D10"/>
    <mergeCell ref="E7:E10"/>
    <mergeCell ref="F7:F10"/>
    <mergeCell ref="A1:M1"/>
    <mergeCell ref="A2:M2"/>
    <mergeCell ref="A3:M3"/>
    <mergeCell ref="A5:M5"/>
    <mergeCell ref="L6:M6"/>
    <mergeCell ref="G7:G10"/>
    <mergeCell ref="F4:M4"/>
    <mergeCell ref="B7:B10"/>
    <mergeCell ref="C7:C10"/>
    <mergeCell ref="A311:L311"/>
    <mergeCell ref="N7:O7"/>
    <mergeCell ref="I8:I10"/>
    <mergeCell ref="J8:J10"/>
    <mergeCell ref="N8:N10"/>
    <mergeCell ref="O8:O10"/>
    <mergeCell ref="I7:J7"/>
    <mergeCell ref="K7:K10"/>
    <mergeCell ref="L7:L10"/>
    <mergeCell ref="M7:M10"/>
  </mergeCells>
  <phoneticPr fontId="11" type="noConversion"/>
  <pageMargins left="0.31496062992125984" right="0" top="0.19685039370078741" bottom="0.15748031496062992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</dc:creator>
  <cp:lastModifiedBy>Владелец</cp:lastModifiedBy>
  <cp:lastPrinted>2014-03-20T06:58:56Z</cp:lastPrinted>
  <dcterms:created xsi:type="dcterms:W3CDTF">2014-02-28T07:02:16Z</dcterms:created>
  <dcterms:modified xsi:type="dcterms:W3CDTF">2014-03-20T07:01:21Z</dcterms:modified>
</cp:coreProperties>
</file>